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ltari\Desktop\doc sito\nuovi agosto 2026\Sabina\"/>
    </mc:Choice>
  </mc:AlternateContent>
  <bookViews>
    <workbookView xWindow="0" yWindow="0" windowWidth="16380" windowHeight="8196" tabRatio="500"/>
  </bookViews>
  <sheets>
    <sheet name="3_AV_per_Provincia" sheetId="1" r:id="rId1"/>
    <sheet name="4_AV_per_Comune" sheetId="2" r:id="rId2"/>
    <sheet name="5_AV_Stima FE medio" sheetId="3" r:id="rId3"/>
    <sheet name="7_VI_leggeri_per_Provincia" sheetId="4" r:id="rId4"/>
    <sheet name="10_VI_pesanti_per_Provincia" sheetId="5" r:id="rId5"/>
    <sheet name="VI_leg_pes_Comune" sheetId="6" r:id="rId6"/>
    <sheet name="FE medi tipo legisl" sheetId="7" r:id="rId7"/>
    <sheet name="DATI di input" sheetId="8" r:id="rId8"/>
    <sheet name="Aree pedonali e placemaking" sheetId="9" r:id="rId9"/>
    <sheet name="Zone 30 e interventi di moderaz" sheetId="10" r:id="rId10"/>
    <sheet name="Percorsi ciclabili" sheetId="11" r:id="rId11"/>
    <sheet name="Strade scolastiche" sheetId="12" r:id="rId12"/>
    <sheet name="Riepilogo Riduzioni emissive ed" sheetId="13" r:id="rId13"/>
  </sheets>
  <calcPr calcId="162913"/>
  <extLst>
    <ext xmlns:loext="http://schemas.libreoffice.org/" uri="{7626C862-2A13-11E5-B345-FEFF819CDC9F}">
      <loext:extCalcPr stringRefSyntax="CalcA1ExcelA1"/>
    </ext>
  </extLst>
</workbook>
</file>

<file path=xl/calcChain.xml><?xml version="1.0" encoding="utf-8"?>
<calcChain xmlns="http://schemas.openxmlformats.org/spreadsheetml/2006/main">
  <c r="N31" i="13" l="1"/>
  <c r="M31" i="13"/>
  <c r="L31" i="13"/>
  <c r="K31" i="13"/>
  <c r="N30" i="13"/>
  <c r="M30" i="13"/>
  <c r="L30" i="13"/>
  <c r="L32" i="13" s="1"/>
  <c r="K30" i="13"/>
  <c r="K32" i="13" s="1"/>
  <c r="K8" i="13" s="1"/>
  <c r="N29" i="13"/>
  <c r="N32" i="13" s="1"/>
  <c r="J8" i="13" s="1"/>
  <c r="M29" i="13"/>
  <c r="M32" i="13" s="1"/>
  <c r="O8" i="13" s="1"/>
  <c r="L29" i="13"/>
  <c r="K29" i="13"/>
  <c r="N8" i="13"/>
  <c r="M8" i="13"/>
  <c r="L8" i="13"/>
  <c r="B13" i="12"/>
  <c r="B14" i="12" s="1"/>
  <c r="B8" i="12"/>
  <c r="B5" i="12"/>
  <c r="B4" i="12"/>
  <c r="B3" i="11"/>
  <c r="B6" i="11" s="1"/>
  <c r="D16" i="10"/>
  <c r="B8" i="10"/>
  <c r="B11" i="10" s="1"/>
  <c r="B3" i="10"/>
  <c r="B6" i="10" s="1"/>
  <c r="E16" i="10" s="1"/>
  <c r="F17" i="9"/>
  <c r="E17" i="9"/>
  <c r="D17" i="9"/>
  <c r="D16" i="9"/>
  <c r="D18" i="9" s="1"/>
  <c r="C16" i="9"/>
  <c r="C18" i="9" s="1"/>
  <c r="B16" i="9"/>
  <c r="B11" i="9"/>
  <c r="C17" i="9" s="1"/>
  <c r="B8" i="9"/>
  <c r="B3" i="9"/>
  <c r="B6" i="9" s="1"/>
  <c r="B7" i="8"/>
  <c r="B6" i="8"/>
  <c r="B40" i="6"/>
  <c r="J19" i="6"/>
  <c r="I19" i="6"/>
  <c r="H19" i="6"/>
  <c r="G19" i="6"/>
  <c r="S19" i="6" s="1"/>
  <c r="F19" i="6"/>
  <c r="E19" i="6"/>
  <c r="Q19" i="6" s="1"/>
  <c r="D19" i="6"/>
  <c r="C19" i="6"/>
  <c r="B19" i="6"/>
  <c r="W18" i="6"/>
  <c r="U18" i="6"/>
  <c r="S18" i="6"/>
  <c r="R18" i="6"/>
  <c r="Q18" i="6"/>
  <c r="P18" i="6"/>
  <c r="O18" i="6"/>
  <c r="K18" i="6"/>
  <c r="V17" i="6"/>
  <c r="U17" i="6"/>
  <c r="T17" i="6"/>
  <c r="S17" i="6"/>
  <c r="R17" i="6"/>
  <c r="P17" i="6"/>
  <c r="N17" i="6"/>
  <c r="K17" i="6"/>
  <c r="K16" i="6"/>
  <c r="N16" i="6" s="1"/>
  <c r="V15" i="6"/>
  <c r="T15" i="6"/>
  <c r="S15" i="6"/>
  <c r="R15" i="6"/>
  <c r="Q15" i="6"/>
  <c r="P15" i="6"/>
  <c r="N15" i="6"/>
  <c r="K15" i="6"/>
  <c r="U15" i="6" s="1"/>
  <c r="T14" i="6"/>
  <c r="S14" i="6"/>
  <c r="Q14" i="6"/>
  <c r="N14" i="6"/>
  <c r="K14" i="6"/>
  <c r="V14" i="6" s="1"/>
  <c r="W13" i="6"/>
  <c r="V13" i="6"/>
  <c r="T13" i="6"/>
  <c r="R13" i="6"/>
  <c r="Q13" i="6"/>
  <c r="P13" i="6"/>
  <c r="O13" i="6"/>
  <c r="N13" i="6"/>
  <c r="K13" i="6"/>
  <c r="S13" i="6" s="1"/>
  <c r="U12" i="6"/>
  <c r="T12" i="6"/>
  <c r="S12" i="6"/>
  <c r="Q12" i="6"/>
  <c r="O12" i="6"/>
  <c r="K12" i="6"/>
  <c r="W12" i="6" s="1"/>
  <c r="Q11" i="6"/>
  <c r="K11" i="6"/>
  <c r="S11" i="6" s="1"/>
  <c r="W10" i="6"/>
  <c r="V10" i="6"/>
  <c r="T10" i="6"/>
  <c r="S10" i="6"/>
  <c r="R10" i="6"/>
  <c r="Q10" i="6"/>
  <c r="P10" i="6"/>
  <c r="O10" i="6"/>
  <c r="N10" i="6"/>
  <c r="K10" i="6"/>
  <c r="U10" i="6" s="1"/>
  <c r="W9" i="6"/>
  <c r="S9" i="6"/>
  <c r="R9" i="6"/>
  <c r="Q9" i="6"/>
  <c r="O9" i="6"/>
  <c r="N9" i="6"/>
  <c r="K9" i="6"/>
  <c r="P9" i="6" s="1"/>
  <c r="V8" i="6"/>
  <c r="R8" i="6"/>
  <c r="N8" i="6"/>
  <c r="K8" i="6"/>
  <c r="T8" i="6" s="1"/>
  <c r="K7" i="6"/>
  <c r="W7" i="6" s="1"/>
  <c r="T6" i="6"/>
  <c r="S6" i="6"/>
  <c r="R6" i="6"/>
  <c r="P6" i="6"/>
  <c r="K6" i="6"/>
  <c r="Q6" i="6" s="1"/>
  <c r="W5" i="6"/>
  <c r="V5" i="6"/>
  <c r="S5" i="6"/>
  <c r="O5" i="6"/>
  <c r="N5" i="6"/>
  <c r="K5" i="6"/>
  <c r="K19" i="6" s="1"/>
  <c r="V4" i="6"/>
  <c r="R4" i="6"/>
  <c r="Q4" i="6"/>
  <c r="P4" i="6"/>
  <c r="N4" i="6"/>
  <c r="K4" i="6"/>
  <c r="W4" i="6" s="1"/>
  <c r="C56" i="5"/>
  <c r="B56" i="5"/>
  <c r="D55" i="5"/>
  <c r="C55" i="5"/>
  <c r="B55" i="5"/>
  <c r="D54" i="5"/>
  <c r="C54" i="5"/>
  <c r="B54" i="5"/>
  <c r="D53" i="5"/>
  <c r="C53" i="5"/>
  <c r="B53" i="5"/>
  <c r="D52" i="5"/>
  <c r="C52" i="5"/>
  <c r="B52" i="5"/>
  <c r="D51" i="5"/>
  <c r="C51" i="5"/>
  <c r="B51" i="5"/>
  <c r="D49" i="5"/>
  <c r="C49" i="5"/>
  <c r="B49" i="5"/>
  <c r="D48" i="5"/>
  <c r="C48" i="5"/>
  <c r="B48" i="5"/>
  <c r="D47" i="5"/>
  <c r="C47" i="5"/>
  <c r="B47" i="5"/>
  <c r="D46" i="5"/>
  <c r="C46" i="5"/>
  <c r="B46" i="5"/>
  <c r="D45" i="5"/>
  <c r="C45" i="5"/>
  <c r="B45" i="5"/>
  <c r="D44" i="5"/>
  <c r="C44" i="5"/>
  <c r="B44" i="5"/>
  <c r="D43" i="5"/>
  <c r="C43" i="5"/>
  <c r="B43" i="5"/>
  <c r="D42" i="5"/>
  <c r="C42" i="5"/>
  <c r="B42" i="5"/>
  <c r="J66" i="4"/>
  <c r="I66" i="4"/>
  <c r="H66" i="4"/>
  <c r="G66" i="4"/>
  <c r="F66" i="4"/>
  <c r="E66" i="4"/>
  <c r="D66" i="4"/>
  <c r="C66" i="4"/>
  <c r="B66" i="4"/>
  <c r="K65" i="4"/>
  <c r="J65" i="4"/>
  <c r="I65" i="4"/>
  <c r="H65" i="4"/>
  <c r="G65" i="4"/>
  <c r="F65" i="4"/>
  <c r="E65" i="4"/>
  <c r="D65" i="4"/>
  <c r="C65" i="4"/>
  <c r="B65" i="4"/>
  <c r="K64" i="4"/>
  <c r="J64" i="4"/>
  <c r="I64" i="4"/>
  <c r="H64" i="4"/>
  <c r="G64" i="4"/>
  <c r="F64" i="4"/>
  <c r="E64" i="4"/>
  <c r="D64" i="4"/>
  <c r="C64" i="4"/>
  <c r="B64" i="4"/>
  <c r="K63" i="4"/>
  <c r="J63" i="4"/>
  <c r="I63" i="4"/>
  <c r="H63" i="4"/>
  <c r="G63" i="4"/>
  <c r="F63" i="4"/>
  <c r="E63" i="4"/>
  <c r="D63" i="4"/>
  <c r="C63" i="4"/>
  <c r="B63" i="4"/>
  <c r="K62" i="4"/>
  <c r="J62" i="4"/>
  <c r="I62" i="4"/>
  <c r="H62" i="4"/>
  <c r="G62" i="4"/>
  <c r="F62" i="4"/>
  <c r="E62" i="4"/>
  <c r="D62" i="4"/>
  <c r="C62" i="4"/>
  <c r="B62" i="4"/>
  <c r="K61" i="4"/>
  <c r="J61" i="4"/>
  <c r="I61" i="4"/>
  <c r="H61" i="4"/>
  <c r="G61" i="4"/>
  <c r="F61" i="4"/>
  <c r="E61" i="4"/>
  <c r="D61" i="4"/>
  <c r="C61" i="4"/>
  <c r="B61" i="4"/>
  <c r="K60" i="4"/>
  <c r="J60" i="4"/>
  <c r="I60" i="4"/>
  <c r="H60" i="4"/>
  <c r="G60" i="4"/>
  <c r="F60" i="4"/>
  <c r="E60" i="4"/>
  <c r="D60" i="4"/>
  <c r="C60" i="4"/>
  <c r="B60" i="4"/>
  <c r="K59" i="4"/>
  <c r="J59" i="4"/>
  <c r="I59" i="4"/>
  <c r="H59" i="4"/>
  <c r="G59" i="4"/>
  <c r="F59" i="4"/>
  <c r="E59" i="4"/>
  <c r="D59" i="4"/>
  <c r="C59" i="4"/>
  <c r="B59" i="4"/>
  <c r="K58" i="4"/>
  <c r="J58" i="4"/>
  <c r="I58" i="4"/>
  <c r="H58" i="4"/>
  <c r="G58" i="4"/>
  <c r="F58" i="4"/>
  <c r="E58" i="4"/>
  <c r="D58" i="4"/>
  <c r="C58" i="4"/>
  <c r="B58" i="4"/>
  <c r="K57" i="4"/>
  <c r="J57" i="4"/>
  <c r="I57" i="4"/>
  <c r="H57" i="4"/>
  <c r="G57" i="4"/>
  <c r="F57" i="4"/>
  <c r="E57" i="4"/>
  <c r="D57" i="4"/>
  <c r="C57" i="4"/>
  <c r="B57" i="4"/>
  <c r="K56" i="4"/>
  <c r="J56" i="4"/>
  <c r="I56" i="4"/>
  <c r="H56" i="4"/>
  <c r="G56" i="4"/>
  <c r="F56" i="4"/>
  <c r="E56" i="4"/>
  <c r="D56" i="4"/>
  <c r="C56" i="4"/>
  <c r="B56" i="4"/>
  <c r="K55" i="4"/>
  <c r="J55" i="4"/>
  <c r="I55" i="4"/>
  <c r="H55" i="4"/>
  <c r="G55" i="4"/>
  <c r="F55" i="4"/>
  <c r="E55" i="4"/>
  <c r="D55" i="4"/>
  <c r="C55" i="4"/>
  <c r="B55" i="4"/>
  <c r="K54" i="4"/>
  <c r="J54" i="4"/>
  <c r="I54" i="4"/>
  <c r="H54" i="4"/>
  <c r="G54" i="4"/>
  <c r="F54" i="4"/>
  <c r="E54" i="4"/>
  <c r="D54" i="4"/>
  <c r="C54" i="4"/>
  <c r="B54" i="4"/>
  <c r="K53" i="4"/>
  <c r="J53" i="4"/>
  <c r="I53" i="4"/>
  <c r="H53" i="4"/>
  <c r="G53" i="4"/>
  <c r="F53" i="4"/>
  <c r="E53" i="4"/>
  <c r="D53" i="4"/>
  <c r="C53" i="4"/>
  <c r="B53" i="4"/>
  <c r="K52" i="4"/>
  <c r="J52" i="4"/>
  <c r="I52" i="4"/>
  <c r="H52" i="4"/>
  <c r="G52" i="4"/>
  <c r="F52" i="4"/>
  <c r="E52" i="4"/>
  <c r="D52" i="4"/>
  <c r="C52" i="4"/>
  <c r="B52" i="4"/>
  <c r="K51" i="4"/>
  <c r="J51" i="4"/>
  <c r="I51" i="4"/>
  <c r="H51" i="4"/>
  <c r="G51" i="4"/>
  <c r="F51" i="4"/>
  <c r="E51" i="4"/>
  <c r="D51" i="4"/>
  <c r="C51" i="4"/>
  <c r="B51" i="4"/>
  <c r="AC34" i="3"/>
  <c r="AA34" i="3"/>
  <c r="Y34" i="3"/>
  <c r="W34" i="3"/>
  <c r="U34" i="3"/>
  <c r="AC33" i="3"/>
  <c r="AA33" i="3"/>
  <c r="Y33" i="3"/>
  <c r="W33" i="3"/>
  <c r="U33" i="3"/>
  <c r="AC32" i="3"/>
  <c r="AA32" i="3"/>
  <c r="Y32" i="3"/>
  <c r="W32" i="3"/>
  <c r="U32" i="3"/>
  <c r="AC31" i="3"/>
  <c r="AA31" i="3"/>
  <c r="Y31" i="3"/>
  <c r="W31" i="3"/>
  <c r="U31" i="3"/>
  <c r="AC30" i="3"/>
  <c r="AA30" i="3"/>
  <c r="Y30" i="3"/>
  <c r="W30" i="3"/>
  <c r="U30" i="3"/>
  <c r="AC29" i="3"/>
  <c r="AA29" i="3"/>
  <c r="Y29" i="3"/>
  <c r="W29" i="3"/>
  <c r="U29" i="3"/>
  <c r="AC28" i="3"/>
  <c r="AA28" i="3"/>
  <c r="Y28" i="3"/>
  <c r="W28" i="3"/>
  <c r="U28" i="3"/>
  <c r="AC27" i="3"/>
  <c r="AA27" i="3"/>
  <c r="Y27" i="3"/>
  <c r="W27" i="3"/>
  <c r="U27" i="3"/>
  <c r="AC26" i="3"/>
  <c r="AA26" i="3"/>
  <c r="Y26" i="3"/>
  <c r="W26" i="3"/>
  <c r="U26" i="3"/>
  <c r="AC25" i="3"/>
  <c r="AA25" i="3"/>
  <c r="Y25" i="3"/>
  <c r="W25" i="3"/>
  <c r="U25" i="3"/>
  <c r="AC24" i="3"/>
  <c r="AA24" i="3"/>
  <c r="Y24" i="3"/>
  <c r="W24" i="3"/>
  <c r="U24" i="3"/>
  <c r="AC23" i="3"/>
  <c r="AA23" i="3"/>
  <c r="Y23" i="3"/>
  <c r="W23" i="3"/>
  <c r="U23" i="3"/>
  <c r="AC22" i="3"/>
  <c r="AA22" i="3"/>
  <c r="Y22" i="3"/>
  <c r="W22" i="3"/>
  <c r="U22" i="3"/>
  <c r="AC21" i="3"/>
  <c r="AA21" i="3"/>
  <c r="Y21" i="3"/>
  <c r="W21" i="3"/>
  <c r="U21" i="3"/>
  <c r="AC20" i="3"/>
  <c r="AA20" i="3"/>
  <c r="Y20" i="3"/>
  <c r="W20" i="3"/>
  <c r="U20" i="3"/>
  <c r="AC19" i="3"/>
  <c r="AA19" i="3"/>
  <c r="Y19" i="3"/>
  <c r="W19" i="3"/>
  <c r="U19" i="3"/>
  <c r="AC18" i="3"/>
  <c r="AA18" i="3"/>
  <c r="Y18" i="3"/>
  <c r="W18" i="3"/>
  <c r="U18" i="3"/>
  <c r="AC17" i="3"/>
  <c r="AA17" i="3"/>
  <c r="Y17" i="3"/>
  <c r="W17" i="3"/>
  <c r="U17" i="3"/>
  <c r="AC16" i="3"/>
  <c r="AA16" i="3"/>
  <c r="Y16" i="3"/>
  <c r="W16" i="3"/>
  <c r="U16" i="3"/>
  <c r="AC15" i="3"/>
  <c r="AA15" i="3"/>
  <c r="Y15" i="3"/>
  <c r="W15" i="3"/>
  <c r="U15" i="3"/>
  <c r="AC14" i="3"/>
  <c r="AA14" i="3"/>
  <c r="Y14" i="3"/>
  <c r="W14" i="3"/>
  <c r="U14" i="3"/>
  <c r="AC13" i="3"/>
  <c r="AA13" i="3"/>
  <c r="Y13" i="3"/>
  <c r="W13" i="3"/>
  <c r="U13" i="3"/>
  <c r="AC12" i="3"/>
  <c r="AA12" i="3"/>
  <c r="Y12" i="3"/>
  <c r="W12" i="3"/>
  <c r="U12" i="3"/>
  <c r="AC11" i="3"/>
  <c r="AA11" i="3"/>
  <c r="Y11" i="3"/>
  <c r="W11" i="3"/>
  <c r="U11" i="3"/>
  <c r="AC10" i="3"/>
  <c r="AA10" i="3"/>
  <c r="Y10" i="3"/>
  <c r="W10" i="3"/>
  <c r="U10" i="3"/>
  <c r="AC9" i="3"/>
  <c r="AA9" i="3"/>
  <c r="Y9" i="3"/>
  <c r="W9" i="3"/>
  <c r="U9" i="3"/>
  <c r="AC8" i="3"/>
  <c r="AA8" i="3"/>
  <c r="Y8" i="3"/>
  <c r="W8" i="3"/>
  <c r="U8" i="3"/>
  <c r="AC7" i="3"/>
  <c r="AA7" i="3"/>
  <c r="Y7" i="3"/>
  <c r="W7" i="3"/>
  <c r="U7" i="3"/>
  <c r="AC6" i="3"/>
  <c r="AA6" i="3"/>
  <c r="Y6" i="3"/>
  <c r="W6" i="3"/>
  <c r="U6" i="3"/>
  <c r="AC5" i="3"/>
  <c r="AA5" i="3"/>
  <c r="Y5" i="3"/>
  <c r="W5" i="3"/>
  <c r="U5" i="3"/>
  <c r="AC4" i="3"/>
  <c r="AA4" i="3"/>
  <c r="Y4" i="3"/>
  <c r="W4" i="3"/>
  <c r="U4" i="3"/>
  <c r="AC3" i="3"/>
  <c r="AC35" i="3" s="1"/>
  <c r="F38" i="3" s="1"/>
  <c r="AA3" i="3"/>
  <c r="AA35" i="3" s="1"/>
  <c r="E38" i="3" s="1"/>
  <c r="Y3" i="3"/>
  <c r="Y35" i="3" s="1"/>
  <c r="D38" i="3" s="1"/>
  <c r="W3" i="3"/>
  <c r="W35" i="3" s="1"/>
  <c r="C38" i="3" s="1"/>
  <c r="U3" i="3"/>
  <c r="U35" i="3" s="1"/>
  <c r="B38" i="3" s="1"/>
  <c r="Q37" i="2"/>
  <c r="P37" i="2"/>
  <c r="O37" i="2"/>
  <c r="N37" i="2"/>
  <c r="M37" i="2"/>
  <c r="L37" i="2"/>
  <c r="K37" i="2"/>
  <c r="J37" i="2"/>
  <c r="I37" i="2"/>
  <c r="H37" i="2"/>
  <c r="G37" i="2"/>
  <c r="F37" i="2"/>
  <c r="Q36" i="2"/>
  <c r="P36" i="2"/>
  <c r="O36" i="2"/>
  <c r="N36" i="2"/>
  <c r="M36" i="2"/>
  <c r="L36" i="2"/>
  <c r="K36" i="2"/>
  <c r="J36" i="2"/>
  <c r="I36" i="2"/>
  <c r="H36" i="2"/>
  <c r="G36" i="2"/>
  <c r="F36" i="2"/>
  <c r="Q35" i="2"/>
  <c r="P35" i="2"/>
  <c r="O35" i="2"/>
  <c r="N35" i="2"/>
  <c r="M35" i="2"/>
  <c r="L35" i="2"/>
  <c r="K35" i="2"/>
  <c r="J35" i="2"/>
  <c r="I35" i="2"/>
  <c r="H35" i="2"/>
  <c r="G35" i="2"/>
  <c r="F35" i="2"/>
  <c r="Q34" i="2"/>
  <c r="P34" i="2"/>
  <c r="O34" i="2"/>
  <c r="N34" i="2"/>
  <c r="M34" i="2"/>
  <c r="L34" i="2"/>
  <c r="K34" i="2"/>
  <c r="J34" i="2"/>
  <c r="I34" i="2"/>
  <c r="H34" i="2"/>
  <c r="G34" i="2"/>
  <c r="F34" i="2"/>
  <c r="Q33" i="2"/>
  <c r="P33" i="2"/>
  <c r="O33" i="2"/>
  <c r="N33" i="2"/>
  <c r="M33" i="2"/>
  <c r="L33" i="2"/>
  <c r="K33" i="2"/>
  <c r="J33" i="2"/>
  <c r="I33" i="2"/>
  <c r="H33" i="2"/>
  <c r="G33" i="2"/>
  <c r="F33" i="2"/>
  <c r="Q32" i="2"/>
  <c r="P32" i="2"/>
  <c r="O32" i="2"/>
  <c r="N32" i="2"/>
  <c r="M32" i="2"/>
  <c r="L32" i="2"/>
  <c r="K32" i="2"/>
  <c r="J32" i="2"/>
  <c r="I32" i="2"/>
  <c r="H32" i="2"/>
  <c r="G32" i="2"/>
  <c r="F32" i="2"/>
  <c r="Q31" i="2"/>
  <c r="P31" i="2"/>
  <c r="O31" i="2"/>
  <c r="N31" i="2"/>
  <c r="M31" i="2"/>
  <c r="L31" i="2"/>
  <c r="K31" i="2"/>
  <c r="J31" i="2"/>
  <c r="I31" i="2"/>
  <c r="H31" i="2"/>
  <c r="G31" i="2"/>
  <c r="F31" i="2"/>
  <c r="Q30" i="2"/>
  <c r="P30" i="2"/>
  <c r="O30" i="2"/>
  <c r="N30" i="2"/>
  <c r="M30" i="2"/>
  <c r="L30" i="2"/>
  <c r="K30" i="2"/>
  <c r="J30" i="2"/>
  <c r="I30" i="2"/>
  <c r="H30" i="2"/>
  <c r="G30" i="2"/>
  <c r="F30" i="2"/>
  <c r="Q29" i="2"/>
  <c r="P29" i="2"/>
  <c r="O29" i="2"/>
  <c r="N29" i="2"/>
  <c r="M29" i="2"/>
  <c r="L29" i="2"/>
  <c r="K29" i="2"/>
  <c r="J29" i="2"/>
  <c r="I29" i="2"/>
  <c r="H29" i="2"/>
  <c r="G29" i="2"/>
  <c r="F29" i="2"/>
  <c r="Q28" i="2"/>
  <c r="P28" i="2"/>
  <c r="O28" i="2"/>
  <c r="N28" i="2"/>
  <c r="M28" i="2"/>
  <c r="L28" i="2"/>
  <c r="K28" i="2"/>
  <c r="J28" i="2"/>
  <c r="I28" i="2"/>
  <c r="H28" i="2"/>
  <c r="G28" i="2"/>
  <c r="F28" i="2"/>
  <c r="Q27" i="2"/>
  <c r="P27" i="2"/>
  <c r="O27" i="2"/>
  <c r="N27" i="2"/>
  <c r="M27" i="2"/>
  <c r="L27" i="2"/>
  <c r="K27" i="2"/>
  <c r="J27" i="2"/>
  <c r="I27" i="2"/>
  <c r="H27" i="2"/>
  <c r="G27" i="2"/>
  <c r="F27" i="2"/>
  <c r="Q26" i="2"/>
  <c r="P26" i="2"/>
  <c r="O26" i="2"/>
  <c r="N26" i="2"/>
  <c r="M26" i="2"/>
  <c r="L26" i="2"/>
  <c r="K26" i="2"/>
  <c r="J26" i="2"/>
  <c r="I26" i="2"/>
  <c r="H26" i="2"/>
  <c r="G26" i="2"/>
  <c r="F26" i="2"/>
  <c r="Q25" i="2"/>
  <c r="P25" i="2"/>
  <c r="O25" i="2"/>
  <c r="N25" i="2"/>
  <c r="M25" i="2"/>
  <c r="L25" i="2"/>
  <c r="K25" i="2"/>
  <c r="J25" i="2"/>
  <c r="I25" i="2"/>
  <c r="H25" i="2"/>
  <c r="G25" i="2"/>
  <c r="F25" i="2"/>
  <c r="Q24" i="2"/>
  <c r="P24" i="2"/>
  <c r="P38" i="2" s="1"/>
  <c r="O24" i="2"/>
  <c r="N24" i="2"/>
  <c r="M24" i="2"/>
  <c r="M38" i="2" s="1"/>
  <c r="L24" i="2"/>
  <c r="K24" i="2"/>
  <c r="J24" i="2"/>
  <c r="I24" i="2"/>
  <c r="H24" i="2"/>
  <c r="H38" i="2" s="1"/>
  <c r="G24" i="2"/>
  <c r="F24" i="2"/>
  <c r="Q23" i="2"/>
  <c r="Q38" i="2" s="1"/>
  <c r="P23" i="2"/>
  <c r="O23" i="2"/>
  <c r="O38" i="2" s="1"/>
  <c r="N23" i="2"/>
  <c r="N38" i="2" s="1"/>
  <c r="M23" i="2"/>
  <c r="L23" i="2"/>
  <c r="L38" i="2" s="1"/>
  <c r="K23" i="2"/>
  <c r="K38" i="2" s="1"/>
  <c r="J23" i="2"/>
  <c r="J38" i="2" s="1"/>
  <c r="I23" i="2"/>
  <c r="I38" i="2" s="1"/>
  <c r="H23" i="2"/>
  <c r="G23" i="2"/>
  <c r="G38" i="2" s="1"/>
  <c r="F23" i="2"/>
  <c r="F38" i="2" s="1"/>
  <c r="M77" i="1"/>
  <c r="L77" i="1"/>
  <c r="K77" i="1"/>
  <c r="J77" i="1"/>
  <c r="I77" i="1"/>
  <c r="H77" i="1"/>
  <c r="G77" i="1"/>
  <c r="F77" i="1"/>
  <c r="E77" i="1"/>
  <c r="D77" i="1"/>
  <c r="C77" i="1"/>
  <c r="B77" i="1"/>
  <c r="M76" i="1"/>
  <c r="L76" i="1"/>
  <c r="K76" i="1"/>
  <c r="J76" i="1"/>
  <c r="I76" i="1"/>
  <c r="H76" i="1"/>
  <c r="G76" i="1"/>
  <c r="F76" i="1"/>
  <c r="E76" i="1"/>
  <c r="D76" i="1"/>
  <c r="C76" i="1"/>
  <c r="B76" i="1"/>
  <c r="M74" i="1"/>
  <c r="L74" i="1"/>
  <c r="K74" i="1"/>
  <c r="J74" i="1"/>
  <c r="I74" i="1"/>
  <c r="H74" i="1"/>
  <c r="G74" i="1"/>
  <c r="F74" i="1"/>
  <c r="E74" i="1"/>
  <c r="D74" i="1"/>
  <c r="C74" i="1"/>
  <c r="B74" i="1"/>
  <c r="M73" i="1"/>
  <c r="L73" i="1"/>
  <c r="K73" i="1"/>
  <c r="J73" i="1"/>
  <c r="I73" i="1"/>
  <c r="H73" i="1"/>
  <c r="G73" i="1"/>
  <c r="F73" i="1"/>
  <c r="E73" i="1"/>
  <c r="D73" i="1"/>
  <c r="C73" i="1"/>
  <c r="B73" i="1"/>
  <c r="M72" i="1"/>
  <c r="L72" i="1"/>
  <c r="K72" i="1"/>
  <c r="J72" i="1"/>
  <c r="I72" i="1"/>
  <c r="H72" i="1"/>
  <c r="G72" i="1"/>
  <c r="F72" i="1"/>
  <c r="E72" i="1"/>
  <c r="D72" i="1"/>
  <c r="C72" i="1"/>
  <c r="B72" i="1"/>
  <c r="M71" i="1"/>
  <c r="L71" i="1"/>
  <c r="K71" i="1"/>
  <c r="J71" i="1"/>
  <c r="I71" i="1"/>
  <c r="H71" i="1"/>
  <c r="G71" i="1"/>
  <c r="F71" i="1"/>
  <c r="E71" i="1"/>
  <c r="D71" i="1"/>
  <c r="C71" i="1"/>
  <c r="B71" i="1"/>
  <c r="M70" i="1"/>
  <c r="L70" i="1"/>
  <c r="K70" i="1"/>
  <c r="J70" i="1"/>
  <c r="I70" i="1"/>
  <c r="H70" i="1"/>
  <c r="G70" i="1"/>
  <c r="F70" i="1"/>
  <c r="E70" i="1"/>
  <c r="D70" i="1"/>
  <c r="C70" i="1"/>
  <c r="B70" i="1"/>
  <c r="M69" i="1"/>
  <c r="L69" i="1"/>
  <c r="K69" i="1"/>
  <c r="J69" i="1"/>
  <c r="I69" i="1"/>
  <c r="H69" i="1"/>
  <c r="G69" i="1"/>
  <c r="F69" i="1"/>
  <c r="E69" i="1"/>
  <c r="D69" i="1"/>
  <c r="C69" i="1"/>
  <c r="B69" i="1"/>
  <c r="M68" i="1"/>
  <c r="L68" i="1"/>
  <c r="K68" i="1"/>
  <c r="J68" i="1"/>
  <c r="I68" i="1"/>
  <c r="H68" i="1"/>
  <c r="G68" i="1"/>
  <c r="F68" i="1"/>
  <c r="E68" i="1"/>
  <c r="D68" i="1"/>
  <c r="C68" i="1"/>
  <c r="B68" i="1"/>
  <c r="M67" i="1"/>
  <c r="L67" i="1"/>
  <c r="K67" i="1"/>
  <c r="J67" i="1"/>
  <c r="I67" i="1"/>
  <c r="H67" i="1"/>
  <c r="G67" i="1"/>
  <c r="F67" i="1"/>
  <c r="E67" i="1"/>
  <c r="D67" i="1"/>
  <c r="C67" i="1"/>
  <c r="B67" i="1"/>
  <c r="M66" i="1"/>
  <c r="L66" i="1"/>
  <c r="K66" i="1"/>
  <c r="J66" i="1"/>
  <c r="I66" i="1"/>
  <c r="H66" i="1"/>
  <c r="G66" i="1"/>
  <c r="F66" i="1"/>
  <c r="E66" i="1"/>
  <c r="D66" i="1"/>
  <c r="C66" i="1"/>
  <c r="B66" i="1"/>
  <c r="M65" i="1"/>
  <c r="L65" i="1"/>
  <c r="K65" i="1"/>
  <c r="J65" i="1"/>
  <c r="I65" i="1"/>
  <c r="H65" i="1"/>
  <c r="G65" i="1"/>
  <c r="F65" i="1"/>
  <c r="E65" i="1"/>
  <c r="D65" i="1"/>
  <c r="C65" i="1"/>
  <c r="B65" i="1"/>
  <c r="M64" i="1"/>
  <c r="L64" i="1"/>
  <c r="K64" i="1"/>
  <c r="J64" i="1"/>
  <c r="I64" i="1"/>
  <c r="H64" i="1"/>
  <c r="G64" i="1"/>
  <c r="F64" i="1"/>
  <c r="E64" i="1"/>
  <c r="D64" i="1"/>
  <c r="C64" i="1"/>
  <c r="B64" i="1"/>
  <c r="M63" i="1"/>
  <c r="L63" i="1"/>
  <c r="K63" i="1"/>
  <c r="J63" i="1"/>
  <c r="I63" i="1"/>
  <c r="H63" i="1"/>
  <c r="G63" i="1"/>
  <c r="F63" i="1"/>
  <c r="E63" i="1"/>
  <c r="D63" i="1"/>
  <c r="C63" i="1"/>
  <c r="B63" i="1"/>
  <c r="U19" i="6" l="1"/>
  <c r="I86" i="6"/>
  <c r="M85" i="6"/>
  <c r="I82" i="6"/>
  <c r="M81" i="6"/>
  <c r="G80" i="6"/>
  <c r="K79" i="6"/>
  <c r="O78" i="6"/>
  <c r="G76" i="6"/>
  <c r="K75" i="6"/>
  <c r="O74" i="6"/>
  <c r="G72" i="6"/>
  <c r="K71" i="6"/>
  <c r="O70" i="6"/>
  <c r="G68" i="6"/>
  <c r="K67" i="6"/>
  <c r="O66" i="6"/>
  <c r="G64" i="6"/>
  <c r="K63" i="6"/>
  <c r="O62" i="6"/>
  <c r="G60" i="6"/>
  <c r="K59" i="6"/>
  <c r="O58" i="6"/>
  <c r="G56" i="6"/>
  <c r="K55" i="6"/>
  <c r="O54" i="6"/>
  <c r="G52" i="6"/>
  <c r="K51" i="6"/>
  <c r="O50" i="6"/>
  <c r="G48" i="6"/>
  <c r="X40" i="6"/>
  <c r="W39" i="6"/>
  <c r="U38" i="6"/>
  <c r="Y36" i="6"/>
  <c r="W35" i="6"/>
  <c r="U34" i="6"/>
  <c r="Y32" i="6"/>
  <c r="W31" i="6"/>
  <c r="U30" i="6"/>
  <c r="Y28" i="6"/>
  <c r="W27" i="6"/>
  <c r="U26" i="6"/>
  <c r="K87" i="6"/>
  <c r="O86" i="6"/>
  <c r="G84" i="6"/>
  <c r="K83" i="6"/>
  <c r="O82" i="6"/>
  <c r="M80" i="6"/>
  <c r="I77" i="6"/>
  <c r="M76" i="6"/>
  <c r="I73" i="6"/>
  <c r="M72" i="6"/>
  <c r="I69" i="6"/>
  <c r="M68" i="6"/>
  <c r="I87" i="6"/>
  <c r="M86" i="6"/>
  <c r="I83" i="6"/>
  <c r="M82" i="6"/>
  <c r="K80" i="6"/>
  <c r="O79" i="6"/>
  <c r="G77" i="6"/>
  <c r="K76" i="6"/>
  <c r="O75" i="6"/>
  <c r="G73" i="6"/>
  <c r="K72" i="6"/>
  <c r="O71" i="6"/>
  <c r="G69" i="6"/>
  <c r="K68" i="6"/>
  <c r="O67" i="6"/>
  <c r="G65" i="6"/>
  <c r="K64" i="6"/>
  <c r="O63" i="6"/>
  <c r="G61" i="6"/>
  <c r="K60" i="6"/>
  <c r="O59" i="6"/>
  <c r="G57" i="6"/>
  <c r="K56" i="6"/>
  <c r="O55" i="6"/>
  <c r="G53" i="6"/>
  <c r="K52" i="6"/>
  <c r="O51" i="6"/>
  <c r="G49" i="6"/>
  <c r="K48" i="6"/>
  <c r="Y39" i="6"/>
  <c r="W38" i="6"/>
  <c r="U37" i="6"/>
  <c r="Y35" i="6"/>
  <c r="W34" i="6"/>
  <c r="U33" i="6"/>
  <c r="Y31" i="6"/>
  <c r="W30" i="6"/>
  <c r="U29" i="6"/>
  <c r="Y27" i="6"/>
  <c r="W26" i="6"/>
  <c r="G87" i="6"/>
  <c r="K86" i="6"/>
  <c r="O85" i="6"/>
  <c r="G83" i="6"/>
  <c r="G86" i="6"/>
  <c r="O84" i="6"/>
  <c r="M77" i="6"/>
  <c r="O73" i="6"/>
  <c r="I72" i="6"/>
  <c r="O68" i="6"/>
  <c r="I67" i="6"/>
  <c r="I66" i="6"/>
  <c r="I65" i="6"/>
  <c r="M54" i="6"/>
  <c r="M53" i="6"/>
  <c r="M52" i="6"/>
  <c r="I51" i="6"/>
  <c r="I50" i="6"/>
  <c r="I49" i="6"/>
  <c r="U40" i="6"/>
  <c r="X38" i="6"/>
  <c r="X36" i="6"/>
  <c r="T35" i="6"/>
  <c r="V33" i="6"/>
  <c r="V31" i="6"/>
  <c r="X29" i="6"/>
  <c r="T28" i="6"/>
  <c r="T26" i="6"/>
  <c r="O87" i="6"/>
  <c r="K84" i="6"/>
  <c r="K81" i="6"/>
  <c r="K78" i="6"/>
  <c r="M74" i="6"/>
  <c r="K73" i="6"/>
  <c r="M69" i="6"/>
  <c r="M57" i="6"/>
  <c r="I55" i="6"/>
  <c r="I54" i="6"/>
  <c r="V36" i="6"/>
  <c r="X32" i="6"/>
  <c r="V29" i="6"/>
  <c r="M84" i="6"/>
  <c r="O81" i="6"/>
  <c r="M78" i="6"/>
  <c r="K77" i="6"/>
  <c r="M73" i="6"/>
  <c r="O69" i="6"/>
  <c r="I68" i="6"/>
  <c r="G67" i="6"/>
  <c r="G66" i="6"/>
  <c r="O57" i="6"/>
  <c r="O56" i="6"/>
  <c r="M55" i="6"/>
  <c r="K54" i="6"/>
  <c r="K53" i="6"/>
  <c r="I52" i="6"/>
  <c r="G51" i="6"/>
  <c r="G50" i="6"/>
  <c r="T40" i="6"/>
  <c r="V38" i="6"/>
  <c r="W36" i="6"/>
  <c r="Y34" i="6"/>
  <c r="T33" i="6"/>
  <c r="U31" i="6"/>
  <c r="W29" i="6"/>
  <c r="X27" i="6"/>
  <c r="M58" i="6"/>
  <c r="M56" i="6"/>
  <c r="I53" i="6"/>
  <c r="T38" i="6"/>
  <c r="X34" i="6"/>
  <c r="T31" i="6"/>
  <c r="V27" i="6"/>
  <c r="M87" i="6"/>
  <c r="I84" i="6"/>
  <c r="I81" i="6"/>
  <c r="M79" i="6"/>
  <c r="I78" i="6"/>
  <c r="K74" i="6"/>
  <c r="M70" i="6"/>
  <c r="K69" i="6"/>
  <c r="O61" i="6"/>
  <c r="O60" i="6"/>
  <c r="M59" i="6"/>
  <c r="K58" i="6"/>
  <c r="K57" i="6"/>
  <c r="I56" i="6"/>
  <c r="G55" i="6"/>
  <c r="G54" i="6"/>
  <c r="X39" i="6"/>
  <c r="Y37" i="6"/>
  <c r="U36" i="6"/>
  <c r="V34" i="6"/>
  <c r="W32" i="6"/>
  <c r="Y30" i="6"/>
  <c r="T29" i="6"/>
  <c r="U27" i="6"/>
  <c r="T19" i="6"/>
  <c r="O83" i="6"/>
  <c r="G75" i="6"/>
  <c r="G70" i="6"/>
  <c r="M66" i="6"/>
  <c r="M64" i="6"/>
  <c r="I62" i="6"/>
  <c r="M48" i="6"/>
  <c r="X33" i="6"/>
  <c r="V28" i="6"/>
  <c r="K85" i="6"/>
  <c r="K82" i="6"/>
  <c r="G81" i="6"/>
  <c r="I79" i="6"/>
  <c r="G78" i="6"/>
  <c r="M75" i="6"/>
  <c r="I74" i="6"/>
  <c r="K70" i="6"/>
  <c r="M62" i="6"/>
  <c r="M61" i="6"/>
  <c r="M60" i="6"/>
  <c r="I59" i="6"/>
  <c r="I58" i="6"/>
  <c r="I57" i="6"/>
  <c r="V39" i="6"/>
  <c r="X37" i="6"/>
  <c r="T36" i="6"/>
  <c r="T34" i="6"/>
  <c r="V32" i="6"/>
  <c r="X30" i="6"/>
  <c r="X28" i="6"/>
  <c r="T27" i="6"/>
  <c r="I80" i="6"/>
  <c r="I71" i="6"/>
  <c r="M65" i="6"/>
  <c r="I61" i="6"/>
  <c r="M49" i="6"/>
  <c r="T39" i="6"/>
  <c r="V35" i="6"/>
  <c r="T30" i="6"/>
  <c r="X26" i="6"/>
  <c r="I85" i="6"/>
  <c r="G82" i="6"/>
  <c r="O80" i="6"/>
  <c r="G79" i="6"/>
  <c r="I75" i="6"/>
  <c r="G74" i="6"/>
  <c r="M71" i="6"/>
  <c r="I70" i="6"/>
  <c r="O65" i="6"/>
  <c r="O64" i="6"/>
  <c r="M63" i="6"/>
  <c r="K62" i="6"/>
  <c r="K61" i="6"/>
  <c r="I60" i="6"/>
  <c r="G59" i="6"/>
  <c r="G58" i="6"/>
  <c r="O49" i="6"/>
  <c r="O48" i="6"/>
  <c r="Y40" i="6"/>
  <c r="U39" i="6"/>
  <c r="W37" i="6"/>
  <c r="X35" i="6"/>
  <c r="Y33" i="6"/>
  <c r="U32" i="6"/>
  <c r="V30" i="6"/>
  <c r="W28" i="6"/>
  <c r="Y26" i="6"/>
  <c r="G85" i="6"/>
  <c r="O76" i="6"/>
  <c r="I63" i="6"/>
  <c r="M50" i="6"/>
  <c r="W40" i="6"/>
  <c r="V37" i="6"/>
  <c r="T32" i="6"/>
  <c r="O19" i="6"/>
  <c r="M83" i="6"/>
  <c r="O77" i="6"/>
  <c r="I76" i="6"/>
  <c r="O72" i="6"/>
  <c r="G71" i="6"/>
  <c r="M67" i="6"/>
  <c r="K66" i="6"/>
  <c r="K65" i="6"/>
  <c r="I64" i="6"/>
  <c r="G63" i="6"/>
  <c r="G62" i="6"/>
  <c r="O53" i="6"/>
  <c r="O52" i="6"/>
  <c r="M51" i="6"/>
  <c r="K50" i="6"/>
  <c r="K49" i="6"/>
  <c r="I48" i="6"/>
  <c r="V40" i="6"/>
  <c r="Y38" i="6"/>
  <c r="T37" i="6"/>
  <c r="U35" i="6"/>
  <c r="W33" i="6"/>
  <c r="X31" i="6"/>
  <c r="Y29" i="6"/>
  <c r="U28" i="6"/>
  <c r="V26" i="6"/>
  <c r="N19" i="6"/>
  <c r="V19" i="6"/>
  <c r="C11" i="11"/>
  <c r="C12" i="11" s="1"/>
  <c r="B11" i="11"/>
  <c r="B12" i="11" s="1"/>
  <c r="F11" i="11"/>
  <c r="F12" i="11" s="1"/>
  <c r="E11" i="11"/>
  <c r="D11" i="11"/>
  <c r="D12" i="11" s="1"/>
  <c r="P7" i="6"/>
  <c r="U8" i="6"/>
  <c r="U11" i="6"/>
  <c r="P16" i="6"/>
  <c r="P19" i="6"/>
  <c r="E17" i="10"/>
  <c r="D17" i="10"/>
  <c r="C17" i="10"/>
  <c r="B17" i="10"/>
  <c r="V11" i="6"/>
  <c r="S4" i="6"/>
  <c r="P5" i="6"/>
  <c r="U6" i="6"/>
  <c r="R7" i="6"/>
  <c r="O8" i="6"/>
  <c r="W8" i="6"/>
  <c r="T9" i="6"/>
  <c r="N11" i="6"/>
  <c r="W11" i="6"/>
  <c r="U14" i="6"/>
  <c r="S16" i="6"/>
  <c r="R19" i="6"/>
  <c r="Q16" i="6"/>
  <c r="D18" i="10"/>
  <c r="T4" i="6"/>
  <c r="Q5" i="6"/>
  <c r="N6" i="6"/>
  <c r="V6" i="6"/>
  <c r="S7" i="6"/>
  <c r="P8" i="6"/>
  <c r="U9" i="6"/>
  <c r="O11" i="6"/>
  <c r="V12" i="6"/>
  <c r="N12" i="6"/>
  <c r="P12" i="6"/>
  <c r="U16" i="6"/>
  <c r="G17" i="9"/>
  <c r="F17" i="10"/>
  <c r="D13" i="12"/>
  <c r="D14" i="12" s="1"/>
  <c r="C13" i="12"/>
  <c r="C14" i="12" s="1"/>
  <c r="F13" i="12"/>
  <c r="F14" i="12" s="1"/>
  <c r="E13" i="12"/>
  <c r="Q7" i="6"/>
  <c r="U4" i="6"/>
  <c r="R5" i="6"/>
  <c r="O6" i="6"/>
  <c r="W6" i="6"/>
  <c r="T7" i="6"/>
  <c r="Q8" i="6"/>
  <c r="V9" i="6"/>
  <c r="P11" i="6"/>
  <c r="P14" i="6"/>
  <c r="R14" i="6"/>
  <c r="W14" i="6"/>
  <c r="V16" i="6"/>
  <c r="E16" i="9"/>
  <c r="Q6" i="13"/>
  <c r="F16" i="9"/>
  <c r="F18" i="9" s="1"/>
  <c r="O4" i="6"/>
  <c r="T5" i="6"/>
  <c r="N7" i="6"/>
  <c r="V7" i="6"/>
  <c r="S8" i="6"/>
  <c r="R11" i="6"/>
  <c r="R12" i="6"/>
  <c r="O14" i="6"/>
  <c r="W17" i="6"/>
  <c r="O17" i="6"/>
  <c r="Q17" i="6"/>
  <c r="T18" i="6"/>
  <c r="V18" i="6"/>
  <c r="N18" i="6"/>
  <c r="U7" i="6"/>
  <c r="R16" i="6"/>
  <c r="T16" i="6"/>
  <c r="W16" i="6"/>
  <c r="U5" i="6"/>
  <c r="O7" i="6"/>
  <c r="T11" i="6"/>
  <c r="O16" i="6"/>
  <c r="F16" i="10"/>
  <c r="F18" i="10" s="1"/>
  <c r="C16" i="10"/>
  <c r="C18" i="10" s="1"/>
  <c r="B16" i="10"/>
  <c r="B18" i="10" s="1"/>
  <c r="U13" i="6"/>
  <c r="O15" i="6"/>
  <c r="W15" i="6"/>
  <c r="B17" i="9"/>
  <c r="B18" i="9" s="1"/>
  <c r="M88" i="6" l="1"/>
  <c r="E106" i="6" s="1"/>
  <c r="Z57" i="6"/>
  <c r="AD57" i="6"/>
  <c r="X57" i="6"/>
  <c r="W41" i="6"/>
  <c r="AF57" i="6"/>
  <c r="AB57" i="6"/>
  <c r="Z73" i="6"/>
  <c r="AF73" i="6"/>
  <c r="AD73" i="6"/>
  <c r="V41" i="6"/>
  <c r="AB73" i="6"/>
  <c r="X73" i="6"/>
  <c r="AD64" i="6"/>
  <c r="AB64" i="6"/>
  <c r="AF64" i="6"/>
  <c r="Z64" i="6"/>
  <c r="X64" i="6"/>
  <c r="Z85" i="6"/>
  <c r="X85" i="6"/>
  <c r="AF85" i="6"/>
  <c r="AD85" i="6"/>
  <c r="AB85" i="6"/>
  <c r="Z54" i="6"/>
  <c r="AF54" i="6"/>
  <c r="AD54" i="6"/>
  <c r="AB54" i="6"/>
  <c r="X54" i="6"/>
  <c r="AF82" i="6"/>
  <c r="AD82" i="6"/>
  <c r="Z82" i="6"/>
  <c r="AB82" i="6"/>
  <c r="X82" i="6"/>
  <c r="Z65" i="6"/>
  <c r="AD65" i="6"/>
  <c r="AF65" i="6"/>
  <c r="AB65" i="6"/>
  <c r="X65" i="6"/>
  <c r="X79" i="6"/>
  <c r="AD79" i="6"/>
  <c r="Z79" i="6"/>
  <c r="AB79" i="6"/>
  <c r="AF79" i="6"/>
  <c r="Z62" i="6"/>
  <c r="AF62" i="6"/>
  <c r="AB62" i="6"/>
  <c r="AD62" i="6"/>
  <c r="X62" i="6"/>
  <c r="AD68" i="6"/>
  <c r="Z68" i="6"/>
  <c r="AF68" i="6"/>
  <c r="AB68" i="6"/>
  <c r="X68" i="6"/>
  <c r="I88" i="6"/>
  <c r="C106" i="6" s="1"/>
  <c r="AD56" i="6"/>
  <c r="X56" i="6"/>
  <c r="AF56" i="6"/>
  <c r="AB56" i="6"/>
  <c r="Z56" i="6"/>
  <c r="Z69" i="6"/>
  <c r="AF69" i="6"/>
  <c r="AD69" i="6"/>
  <c r="X69" i="6"/>
  <c r="AB69" i="6"/>
  <c r="X55" i="6"/>
  <c r="AF55" i="6"/>
  <c r="AB55" i="6"/>
  <c r="AD55" i="6"/>
  <c r="Z55" i="6"/>
  <c r="AD52" i="6"/>
  <c r="AF52" i="6"/>
  <c r="AB52" i="6"/>
  <c r="Z52" i="6"/>
  <c r="X52" i="6"/>
  <c r="E14" i="12"/>
  <c r="G13" i="12"/>
  <c r="G14" i="12" s="1"/>
  <c r="Z53" i="6"/>
  <c r="AD53" i="6"/>
  <c r="AF53" i="6"/>
  <c r="X53" i="6"/>
  <c r="AB53" i="6"/>
  <c r="G88" i="6"/>
  <c r="B106" i="6" s="1"/>
  <c r="E12" i="11"/>
  <c r="G11" i="11"/>
  <c r="G12" i="11" s="1"/>
  <c r="X84" i="6"/>
  <c r="AD84" i="6"/>
  <c r="AB84" i="6"/>
  <c r="Z84" i="6"/>
  <c r="AF84" i="6"/>
  <c r="Z81" i="6"/>
  <c r="X81" i="6"/>
  <c r="AB81" i="6"/>
  <c r="Y41" i="6"/>
  <c r="AF81" i="6"/>
  <c r="AD81" i="6"/>
  <c r="Z61" i="6"/>
  <c r="AD61" i="6"/>
  <c r="AF61" i="6"/>
  <c r="AB61" i="6"/>
  <c r="X61" i="6"/>
  <c r="K88" i="6"/>
  <c r="D106" i="6" s="1"/>
  <c r="Z49" i="6"/>
  <c r="AD49" i="6"/>
  <c r="AF49" i="6"/>
  <c r="AB49" i="6"/>
  <c r="X49" i="6"/>
  <c r="AB87" i="6"/>
  <c r="AF87" i="6"/>
  <c r="AD87" i="6"/>
  <c r="Z87" i="6"/>
  <c r="X87" i="6"/>
  <c r="AF51" i="6"/>
  <c r="AD51" i="6"/>
  <c r="AB51" i="6"/>
  <c r="X51" i="6"/>
  <c r="Z51" i="6"/>
  <c r="X71" i="6"/>
  <c r="AF71" i="6"/>
  <c r="AD71" i="6"/>
  <c r="AB71" i="6"/>
  <c r="Z71" i="6"/>
  <c r="E18" i="9"/>
  <c r="G16" i="9"/>
  <c r="G18" i="9" s="1"/>
  <c r="G17" i="10"/>
  <c r="AB59" i="6"/>
  <c r="X59" i="6"/>
  <c r="Z59" i="6"/>
  <c r="AF59" i="6"/>
  <c r="AD59" i="6"/>
  <c r="O88" i="6"/>
  <c r="F106" i="6" s="1"/>
  <c r="AD48" i="6"/>
  <c r="T41" i="6"/>
  <c r="AB48" i="6"/>
  <c r="AF48" i="6"/>
  <c r="Z48" i="6"/>
  <c r="X48" i="6"/>
  <c r="AF86" i="6"/>
  <c r="Z86" i="6"/>
  <c r="AD86" i="6"/>
  <c r="AB86" i="6"/>
  <c r="X86" i="6"/>
  <c r="Z66" i="6"/>
  <c r="AF66" i="6"/>
  <c r="AD66" i="6"/>
  <c r="AB66" i="6"/>
  <c r="U41" i="6"/>
  <c r="X66" i="6"/>
  <c r="AF63" i="6"/>
  <c r="AD63" i="6"/>
  <c r="AB63" i="6"/>
  <c r="Z63" i="6"/>
  <c r="X63" i="6"/>
  <c r="Z77" i="6"/>
  <c r="AF77" i="6"/>
  <c r="AD77" i="6"/>
  <c r="X77" i="6"/>
  <c r="AB77" i="6"/>
  <c r="Z50" i="6"/>
  <c r="AF50" i="6"/>
  <c r="AD50" i="6"/>
  <c r="AB50" i="6"/>
  <c r="X50" i="6"/>
  <c r="AD72" i="6"/>
  <c r="AF72" i="6"/>
  <c r="AB72" i="6"/>
  <c r="Z72" i="6"/>
  <c r="X72" i="6"/>
  <c r="X75" i="6"/>
  <c r="AF75" i="6"/>
  <c r="AD75" i="6"/>
  <c r="AB75" i="6"/>
  <c r="Z75" i="6"/>
  <c r="Z58" i="6"/>
  <c r="AB58" i="6"/>
  <c r="X58" i="6"/>
  <c r="AF58" i="6"/>
  <c r="AD58" i="6"/>
  <c r="X41" i="6"/>
  <c r="AB83" i="6"/>
  <c r="AF83" i="6"/>
  <c r="AD83" i="6"/>
  <c r="Z83" i="6"/>
  <c r="X83" i="6"/>
  <c r="E18" i="10"/>
  <c r="AF67" i="6"/>
  <c r="AD67" i="6"/>
  <c r="AB67" i="6"/>
  <c r="X67" i="6"/>
  <c r="Z67" i="6"/>
  <c r="AB74" i="6"/>
  <c r="Z74" i="6"/>
  <c r="AD74" i="6"/>
  <c r="X74" i="6"/>
  <c r="AF74" i="6"/>
  <c r="AD60" i="6"/>
  <c r="AB60" i="6"/>
  <c r="Z60" i="6"/>
  <c r="X60" i="6"/>
  <c r="AF60" i="6"/>
  <c r="AD76" i="6"/>
  <c r="AF76" i="6"/>
  <c r="AB76" i="6"/>
  <c r="Z76" i="6"/>
  <c r="X76" i="6"/>
  <c r="AB78" i="6"/>
  <c r="Z78" i="6"/>
  <c r="X78" i="6"/>
  <c r="AF78" i="6"/>
  <c r="AD78" i="6"/>
  <c r="AB70" i="6"/>
  <c r="Z70" i="6"/>
  <c r="AF70" i="6"/>
  <c r="AD70" i="6"/>
  <c r="X70" i="6"/>
  <c r="G16" i="10"/>
  <c r="G18" i="10" s="1"/>
  <c r="Z88" i="6" l="1"/>
  <c r="K106" i="6" s="1"/>
  <c r="X88" i="6"/>
  <c r="J106" i="6" s="1"/>
  <c r="AF88" i="6"/>
  <c r="N106" i="6" s="1"/>
  <c r="AB88" i="6"/>
  <c r="L106" i="6" s="1"/>
  <c r="AD88" i="6"/>
  <c r="M106" i="6" s="1"/>
</calcChain>
</file>

<file path=xl/sharedStrings.xml><?xml version="1.0" encoding="utf-8"?>
<sst xmlns="http://schemas.openxmlformats.org/spreadsheetml/2006/main" count="1850" uniqueCount="286">
  <si>
    <t>Autovetture distinte per Provincia, Alimentazione, Fascia Cilindrata Copert e EURO. Anno 2025</t>
  </si>
  <si>
    <t>REGIONE</t>
  </si>
  <si>
    <t>PROVINCIA</t>
  </si>
  <si>
    <t>ALIMENTAZIONE</t>
  </si>
  <si>
    <t>FASCIA</t>
  </si>
  <si>
    <t>EURO 0</t>
  </si>
  <si>
    <t>EURO 1</t>
  </si>
  <si>
    <t>EURO 2</t>
  </si>
  <si>
    <t>EURO 3</t>
  </si>
  <si>
    <t>EURO 4</t>
  </si>
  <si>
    <t>EURO 5</t>
  </si>
  <si>
    <t>EURO 5B</t>
  </si>
  <si>
    <t>EURO 6</t>
  </si>
  <si>
    <t>EURO 6A</t>
  </si>
  <si>
    <t>EURO 6B</t>
  </si>
  <si>
    <t>EURO 6C</t>
  </si>
  <si>
    <t>EURO 6D</t>
  </si>
  <si>
    <t>EURO 6E</t>
  </si>
  <si>
    <t>Non contemplato</t>
  </si>
  <si>
    <t>Non definito</t>
  </si>
  <si>
    <t xml:space="preserve">Totale </t>
  </si>
  <si>
    <t>VERBANO CUSIO OSSOLA</t>
  </si>
  <si>
    <t>BENZINA</t>
  </si>
  <si>
    <t>Fino a 1400</t>
  </si>
  <si>
    <t>1401 - 2000</t>
  </si>
  <si>
    <t>Oltre 2000</t>
  </si>
  <si>
    <t>Totale</t>
  </si>
  <si>
    <t>BENZINA E GAS LIQUIDO</t>
  </si>
  <si>
    <t>BENZINA E METANO</t>
  </si>
  <si>
    <t>ELETTRICITA</t>
  </si>
  <si>
    <t>GASOLIO</t>
  </si>
  <si>
    <t>IBRIDO BENZINA</t>
  </si>
  <si>
    <t>IBRIDO BENZINA GAS LIQUIDO</t>
  </si>
  <si>
    <t>IBRIDO GASOLIO</t>
  </si>
  <si>
    <t>METANO</t>
  </si>
  <si>
    <t>ALTRE</t>
  </si>
  <si>
    <t>NON DEFINITO</t>
  </si>
  <si>
    <t>VERBANO CUSIO OSSOLA – Numero Autovetture</t>
  </si>
  <si>
    <t>VERBANO CUSIO OSSOLA – Composizione % Autovetture</t>
  </si>
  <si>
    <t>Autovetture distinte per Provincia, Comune e EURO. Anno 2025</t>
  </si>
  <si>
    <t>PIEMONTE</t>
  </si>
  <si>
    <t>VCO</t>
  </si>
  <si>
    <t>COMUNE</t>
  </si>
  <si>
    <t>DOMODOSSOLA</t>
  </si>
  <si>
    <t>Settore</t>
  </si>
  <si>
    <t>Combustibile</t>
  </si>
  <si>
    <t>Tipo legislativo</t>
  </si>
  <si>
    <t>Periodo</t>
  </si>
  <si>
    <t>Consumo specifico</t>
  </si>
  <si>
    <t>NOx</t>
  </si>
  <si>
    <t xml:space="preserve">FE NOx parziale </t>
  </si>
  <si>
    <t>PM10</t>
  </si>
  <si>
    <t xml:space="preserve">FE PM10 parziale </t>
  </si>
  <si>
    <t>CH4</t>
  </si>
  <si>
    <t xml:space="preserve">FE CH4 parziale </t>
  </si>
  <si>
    <t>CO2</t>
  </si>
  <si>
    <t xml:space="preserve">FE CO2 parziale </t>
  </si>
  <si>
    <t>N2O</t>
  </si>
  <si>
    <t xml:space="preserve">FE N2O parziale </t>
  </si>
  <si>
    <t>g/km</t>
  </si>
  <si>
    <t>mg/km</t>
  </si>
  <si>
    <t>Automobili</t>
  </si>
  <si>
    <t>benzina verde</t>
  </si>
  <si>
    <t>ECE 15/04</t>
  </si>
  <si>
    <t>da 01/01/1985 a 31/12/1992</t>
  </si>
  <si>
    <t>Euro 1 - 91/441/EEC</t>
  </si>
  <si>
    <t>da 01/01/1993 a 31/12/1996</t>
  </si>
  <si>
    <t>Euro 2 - 94/12/EC</t>
  </si>
  <si>
    <t>da 01/01/1997 a 31/12/2000</t>
  </si>
  <si>
    <t>Euro 3 - 98/69/EC Stage 2000</t>
  </si>
  <si>
    <t>da 01/01/2001 a 31/12/2005</t>
  </si>
  <si>
    <t>Euro 4 - 98/69/EC Stage 2005</t>
  </si>
  <si>
    <t>da 01/01/2006 a 31/12/2010</t>
  </si>
  <si>
    <t>Euro 5 - EC 715/2007</t>
  </si>
  <si>
    <t>da 01/01/2011 a 31/08/2015</t>
  </si>
  <si>
    <t>Euro 6 - EC 715/2007</t>
  </si>
  <si>
    <t>da 01/09/2015 a 31/08/2019</t>
  </si>
  <si>
    <t>Euro 6d-temp</t>
  </si>
  <si>
    <t>da 01/09/2019 a da 31/12/2020</t>
  </si>
  <si>
    <t>Euro 6d/e</t>
  </si>
  <si>
    <t>da 01/01/2021 al 2026</t>
  </si>
  <si>
    <t>diesel</t>
  </si>
  <si>
    <t>Conventional</t>
  </si>
  <si>
    <t>&lt; 31/12/92</t>
  </si>
  <si>
    <t>da 01/09/2019 a 31/12/2020</t>
  </si>
  <si>
    <t>Euro 6d</t>
  </si>
  <si>
    <t>GPL</t>
  </si>
  <si>
    <t>Aggregazioni di veicoli per l’associazione dei FE in funzione del tipo di alimentazione</t>
  </si>
  <si>
    <t>Benzina, Ibrido Benzina= Benzina</t>
  </si>
  <si>
    <t>Benzina e gas liquido, ibrido benzina gas liquido= GPL</t>
  </si>
  <si>
    <t>Benzina e metano, Metano =metano</t>
  </si>
  <si>
    <t>Elettricità=elettricità</t>
  </si>
  <si>
    <t>Gasolio, ibrido gasolio=diesel</t>
  </si>
  <si>
    <t>da 01/09/2015</t>
  </si>
  <si>
    <t>Altre, non definito=gasolio</t>
  </si>
  <si>
    <t>metano</t>
  </si>
  <si>
    <t>Aggregazioni di veicoli per l’associazione dei FE in funzione della classe Euro</t>
  </si>
  <si>
    <t>Euro 5, Euro 5B=euro 5</t>
  </si>
  <si>
    <t>Euro 6, Euro 6A, Euro 6B, Euro 6C=Euro 6</t>
  </si>
  <si>
    <t>Euro 6D=Euro 6d-temp</t>
  </si>
  <si>
    <t>Euro 6E=Euro 6D</t>
  </si>
  <si>
    <t>elettricità</t>
  </si>
  <si>
    <t>FE Medi Domodossola</t>
  </si>
  <si>
    <t>Veicoli Industriali LEGGERI distinti per Provincia, Alimentazione, Fascia P.T.T. e EURO. Anno 2025</t>
  </si>
  <si>
    <t>Fino a 3,5</t>
  </si>
  <si>
    <t>GASOLIO E GAS</t>
  </si>
  <si>
    <t xml:space="preserve"> GASOLIO E GAS </t>
  </si>
  <si>
    <t>VERBANO CUSIO OSSOLA – Numero Veicoli leggeri</t>
  </si>
  <si>
    <t xml:space="preserve"> ELETTRICITA </t>
  </si>
  <si>
    <t>VERBANO CUSIO OSSOLA – Composizione % Veicoli leggeri</t>
  </si>
  <si>
    <t>Veicoli Industriali PESANTI distinti per Provincia, Alimentazione, Fascia P.T.T. e EURO. Anno 2025</t>
  </si>
  <si>
    <t>Oltre 3,5</t>
  </si>
  <si>
    <t>3,6 - 7,5</t>
  </si>
  <si>
    <t>7,6 - 12</t>
  </si>
  <si>
    <t>12,1 - 14</t>
  </si>
  <si>
    <t>14,1 - 20</t>
  </si>
  <si>
    <t>20,1 - 26</t>
  </si>
  <si>
    <t>26,1 - 28</t>
  </si>
  <si>
    <t>28,1 - 32</t>
  </si>
  <si>
    <t>Oltre 32</t>
  </si>
  <si>
    <t xml:space="preserve"> VERBANO CUSIO OSSOLA –   Numero Veicoli Pesanti</t>
  </si>
  <si>
    <t>VERBANO CUSIO OSSOLA – Composizione % Veicoli Pesanti</t>
  </si>
  <si>
    <t>VERBANO CUSIO OSSOLA – Numero Veicoli leggeri e pesanti</t>
  </si>
  <si>
    <t xml:space="preserve"> PROVINCIA </t>
  </si>
  <si>
    <t>VERBANO CUSIO OSSOLA – Composizione % Veicoli leggeri e pesanti</t>
  </si>
  <si>
    <t xml:space="preserve"> ALIMENTAZIONE </t>
  </si>
  <si>
    <t xml:space="preserve"> BENZINA </t>
  </si>
  <si>
    <t xml:space="preserve"> BENZINA E GAS LIQUIDO </t>
  </si>
  <si>
    <t xml:space="preserve"> BENZINA E METANO </t>
  </si>
  <si>
    <t xml:space="preserve">  ELETTRICITA  </t>
  </si>
  <si>
    <t xml:space="preserve"> GASOLIO </t>
  </si>
  <si>
    <t xml:space="preserve">  GASOLIO E GAS  </t>
  </si>
  <si>
    <t xml:space="preserve"> IBRIDO BENZINA </t>
  </si>
  <si>
    <t xml:space="preserve"> IBRIDO GASOLIO </t>
  </si>
  <si>
    <t xml:space="preserve"> METANO </t>
  </si>
  <si>
    <t xml:space="preserve"> Totale </t>
  </si>
  <si>
    <t xml:space="preserve"> FASCIA </t>
  </si>
  <si>
    <t xml:space="preserve"> EURO 0 </t>
  </si>
  <si>
    <t xml:space="preserve"> EURO 1 </t>
  </si>
  <si>
    <t xml:space="preserve"> EURO 2 </t>
  </si>
  <si>
    <t xml:space="preserve"> EURO 3 </t>
  </si>
  <si>
    <t xml:space="preserve"> EURO 4 </t>
  </si>
  <si>
    <t xml:space="preserve"> EURO 5 </t>
  </si>
  <si>
    <t xml:space="preserve"> EURO 5B </t>
  </si>
  <si>
    <t xml:space="preserve"> EURO 6 </t>
  </si>
  <si>
    <t xml:space="preserve"> EURO 6A </t>
  </si>
  <si>
    <t xml:space="preserve"> EURO 6B </t>
  </si>
  <si>
    <t xml:space="preserve"> EURO 6C </t>
  </si>
  <si>
    <t xml:space="preserve"> EURO 6D </t>
  </si>
  <si>
    <t xml:space="preserve"> EURO 6E </t>
  </si>
  <si>
    <t xml:space="preserve"> Non contemplato </t>
  </si>
  <si>
    <t xml:space="preserve"> Non definito </t>
  </si>
  <si>
    <t xml:space="preserve"> Totale  </t>
  </si>
  <si>
    <t>Totali</t>
  </si>
  <si>
    <t>Leggeri</t>
  </si>
  <si>
    <t>Pesanti</t>
  </si>
  <si>
    <t>Benzina</t>
  </si>
  <si>
    <t>Metano</t>
  </si>
  <si>
    <t>Gasolio</t>
  </si>
  <si>
    <t>Elettrico</t>
  </si>
  <si>
    <t>Veicoli leggeri &lt; 3.5 t</t>
  </si>
  <si>
    <t>&lt; 30/09/94</t>
  </si>
  <si>
    <t>Euro 1 - 93/59/EEC</t>
  </si>
  <si>
    <t>da 01/10/1994 a 30/09/1997</t>
  </si>
  <si>
    <t>Euro 2 - 96/69/EC</t>
  </si>
  <si>
    <t>da 01/10/1997 a 31/12/2001</t>
  </si>
  <si>
    <t>da 01/01/2002 a 31/12/2006</t>
  </si>
  <si>
    <t>da 01/01/2007 a 31/12/2011</t>
  </si>
  <si>
    <t>da 01/01/2012 a 31/08/2016</t>
  </si>
  <si>
    <t>da 01/09/2016 a 31/08/2020</t>
  </si>
  <si>
    <t>da 01/09/2020 a da 31/12/2021</t>
  </si>
  <si>
    <t>da 01/01/2022</t>
  </si>
  <si>
    <t>da 01/09/2020 a 31/12/2021</t>
  </si>
  <si>
    <t>da 01/09/2016</t>
  </si>
  <si>
    <t>Veicoli pesanti &gt; 3.5 t  - merci</t>
  </si>
  <si>
    <t>ND</t>
  </si>
  <si>
    <t>&lt; 01/10/93</t>
  </si>
  <si>
    <t>Euro 0</t>
  </si>
  <si>
    <t>Euro I - 91/542/EEC Stage I</t>
  </si>
  <si>
    <t>da 01/10/1993 a 30/09/1996</t>
  </si>
  <si>
    <t>Euro II - 91/542/EEC Stage II</t>
  </si>
  <si>
    <t>da 01/10/1996 a 30/09/2001</t>
  </si>
  <si>
    <t>Euro III - 1999/96/EC</t>
  </si>
  <si>
    <t>da 01/10/2001 a 30/09/2006</t>
  </si>
  <si>
    <t>Euro IV - COM(1998) 776</t>
  </si>
  <si>
    <t>da 01/10/2006 a 30/09/2009</t>
  </si>
  <si>
    <t>Euro V - COM(1998) 776</t>
  </si>
  <si>
    <t>da 01/10/2009 a 31/12/2013</t>
  </si>
  <si>
    <t>Euro VI - Reg EC 595/2009</t>
  </si>
  <si>
    <t>da 01/01/2014</t>
  </si>
  <si>
    <t>FE Medi Provincia VCO</t>
  </si>
  <si>
    <t>FE Medi Comune di Domodossola</t>
  </si>
  <si>
    <t>Fattori di emissione medi da traffico per settore, combustibile e tipo legislativo in Lombardia nel 2023 (Fonte: INEMAR ARPA LOMBARDIA)</t>
  </si>
  <si>
    <t>Veicoli pesanti &gt; 3.5 t - passeggeri</t>
  </si>
  <si>
    <t>EEV</t>
  </si>
  <si>
    <t>da 01/10/2009</t>
  </si>
  <si>
    <t>Ciclomotori (&lt; 50 cm3)</t>
  </si>
  <si>
    <t>&lt; 17/06/1999</t>
  </si>
  <si>
    <t>Euro 1 - 97/24/EC Stage I</t>
  </si>
  <si>
    <t>da 17/06/1999 a 16/06/2002</t>
  </si>
  <si>
    <t>Euro 2 - 97/24/EC Stage II</t>
  </si>
  <si>
    <t>da 17/06/2002 a 30/06/2015</t>
  </si>
  <si>
    <t>Euro 3 - Directive 2013/60/UE</t>
  </si>
  <si>
    <t>da 01/07/2015 a 31/12/2017</t>
  </si>
  <si>
    <t>Euro 4 - Reg EC 168/2013</t>
  </si>
  <si>
    <t>da 01/01/2018 a 31/12/2020</t>
  </si>
  <si>
    <t>Euro 5 - Reg EC 168/2013</t>
  </si>
  <si>
    <t>da 01/01/2021</t>
  </si>
  <si>
    <t>Microcar</t>
  </si>
  <si>
    <t>Motocicli (&gt; 50 cm3)</t>
  </si>
  <si>
    <t>Euro 1 - 97/24/EC</t>
  </si>
  <si>
    <t>da 01/01/1999 a 17/06/2002</t>
  </si>
  <si>
    <t>Euro 2 - 2002/51/EC Stage I</t>
  </si>
  <si>
    <t>da 01/01/2003 a 31/12/05</t>
  </si>
  <si>
    <t>Euro 3 - 2002/51/EC Stage II</t>
  </si>
  <si>
    <t>da 01/01/2006 a 31/12/2016</t>
  </si>
  <si>
    <t>da 01/01/2017 a 31/12/2020</t>
  </si>
  <si>
    <t>Le emissioni di polveri comprendono il contributo da usura di freni, pneumatici e manto stradale</t>
  </si>
  <si>
    <t>Le emissioni di COV comprendono il contributo da evaporazione di benzina</t>
  </si>
  <si>
    <t>Autovetture</t>
  </si>
  <si>
    <t>Veicoli industriali</t>
  </si>
  <si>
    <t>Abitanti</t>
  </si>
  <si>
    <t>Densità ab</t>
  </si>
  <si>
    <t>Auto x abitante</t>
  </si>
  <si>
    <t>Veicoli industriali per abitante</t>
  </si>
  <si>
    <r>
      <rPr>
        <sz val="9"/>
        <rFont val="Arial"/>
        <family val="2"/>
        <charset val="1"/>
      </rPr>
      <t>In caso di interventi che riguardano la creazione di aree pedonali o trasformazione di spazi pubblici, piazze, parchi, giardini e aree gioco (</t>
    </r>
    <r>
      <rPr>
        <b/>
        <sz val="9"/>
        <rFont val="Arial"/>
        <family val="2"/>
        <charset val="1"/>
      </rPr>
      <t xml:space="preserve">placemaking), </t>
    </r>
    <r>
      <rPr>
        <sz val="9"/>
        <rFont val="Arial"/>
        <family val="2"/>
        <charset val="1"/>
      </rPr>
      <t xml:space="preserve">ai fini della stima della riduzione delle emissioni occorre inserire nella caselle evidenziate in giallo i dati di input riconducibili alla seguente formula: 
</t>
    </r>
    <r>
      <rPr>
        <b/>
        <i/>
        <sz val="9"/>
        <color rgb="FF666666"/>
        <rFont val="Arial"/>
        <family val="2"/>
        <charset val="1"/>
      </rPr>
      <t>∆km</t>
    </r>
    <r>
      <rPr>
        <b/>
        <i/>
        <vertAlign val="subscript"/>
        <sz val="9"/>
        <color rgb="FF666666"/>
        <rFont val="Arial"/>
        <family val="2"/>
        <charset val="1"/>
      </rPr>
      <t>auto</t>
    </r>
    <r>
      <rPr>
        <b/>
        <i/>
        <sz val="9"/>
        <color rgb="FF666666"/>
        <rFont val="Arial"/>
        <family val="2"/>
        <charset val="1"/>
      </rPr>
      <t xml:space="preserve"> = [(Ut / δ) * L]* Op
</t>
    </r>
    <r>
      <rPr>
        <sz val="9"/>
        <rFont val="Arial"/>
        <family val="2"/>
        <charset val="1"/>
      </rPr>
      <t xml:space="preserve">
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</si>
  <si>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Ut</t>
  </si>
  <si>
    <t>Il valore rispecchia il bacino di utenza che può interessare l’intervento, con riferimento alle autovetture. Può essere espresso come un valore percentuale sul totale della popolazione oppure come valore stimato dal proponente in funzione di analisi sulla mobilità dei cittadini. Nell’esempio viene valutato come 5% del parco autovetture a livello comunale.</t>
  </si>
  <si>
    <t>L (km)</t>
  </si>
  <si>
    <t>Nel caso di un’area pedonale che evita l’accesso diretto al centro città e che implica la sosta del mezzo privato in un’area di parcheggio, il parametro L può essere determinato come distanza tra area di sosta e centro città, moltiplicando per 2 (andata e ritorno) il valore</t>
  </si>
  <si>
    <t>Op</t>
  </si>
  <si>
    <t>Può essere assunto un valore basato sul conteggio dei giorni lavorativi o sul totale dei giorni dell’anno in funzione della tipologia di luoghi di interesse</t>
  </si>
  <si>
    <r>
      <rPr>
        <b/>
        <sz val="10"/>
        <rFont val="Arial"/>
        <family val="2"/>
        <charset val="1"/>
      </rPr>
      <t>∆km</t>
    </r>
    <r>
      <rPr>
        <b/>
        <vertAlign val="subscript"/>
        <sz val="10"/>
        <rFont val="Arial"/>
        <family val="2"/>
        <charset val="1"/>
      </rPr>
      <t>auto</t>
    </r>
    <r>
      <rPr>
        <b/>
        <sz val="10"/>
        <rFont val="Arial"/>
        <family val="2"/>
        <charset val="1"/>
      </rPr>
      <t xml:space="preserve"> </t>
    </r>
  </si>
  <si>
    <t>Il valore rispecchia il bacino di utenza che può interessare l’intervento. Può essere espresso come un valore percentuale sul totale della popolazione oppure come valore stimato dal proponente in funzione di analisi sulla mobilità dei cittadini. Nell’esempio viene valutato come 2% del parco veicoli industriali.</t>
  </si>
  <si>
    <r>
      <rPr>
        <b/>
        <sz val="10"/>
        <rFont val="Arial"/>
        <family val="2"/>
        <charset val="1"/>
      </rPr>
      <t>∆km</t>
    </r>
    <r>
      <rPr>
        <b/>
        <vertAlign val="subscript"/>
        <sz val="10"/>
        <rFont val="Arial"/>
        <family val="2"/>
        <charset val="1"/>
      </rPr>
      <t>veicoli industriali</t>
    </r>
    <r>
      <rPr>
        <b/>
        <sz val="10"/>
        <rFont val="Arial"/>
        <family val="2"/>
        <charset val="1"/>
      </rPr>
      <t xml:space="preserve"> </t>
    </r>
  </si>
  <si>
    <t>Emissioni ridotte</t>
  </si>
  <si>
    <t>Tipo mezzi</t>
  </si>
  <si>
    <t>CO2 equ.</t>
  </si>
  <si>
    <t>kg/anno</t>
  </si>
  <si>
    <t>t/anno</t>
  </si>
  <si>
    <t>Veicoli Industriali</t>
  </si>
  <si>
    <t>TOTALE</t>
  </si>
  <si>
    <t xml:space="preserve">GWP* values for 100-year time horizon </t>
  </si>
  <si>
    <t>*GPW utilizzati per convertire N2O e CH4 in CO2 equ. Fonte: www.ipcc.ch, fifth assessment report</t>
  </si>
  <si>
    <r>
      <rPr>
        <sz val="10"/>
        <rFont val="Arial"/>
        <family val="2"/>
        <charset val="1"/>
      </rPr>
      <t xml:space="preserve">Gli interventi che riguardano la creazione di zone 30 e interventi di moderazione del traffico generano una flessione fisiologica dei flussi dei veicoli privati. Nel Comune di Bologna sono state stimate riduzioni fino al -9% di auto private nel lungo periodo. Ciò avviene in quanto  gli automobilisti evitano le strade di quartiere come scorciatoie, preferendo gli assi di scorrimento principali. 
Ai fini della stima della riduzione delle emissioni occorre inserire nella caselle evidenziate in giallo i dati di input riconducibili alla seguente formula: 
</t>
    </r>
    <r>
      <rPr>
        <sz val="9"/>
        <rFont val="Arial"/>
        <family val="2"/>
        <charset val="1"/>
      </rPr>
      <t xml:space="preserve">
</t>
    </r>
    <r>
      <rPr>
        <b/>
        <i/>
        <sz val="9"/>
        <color rgb="FF666666"/>
        <rFont val="Arial"/>
        <family val="2"/>
        <charset val="1"/>
      </rPr>
      <t>∆km</t>
    </r>
    <r>
      <rPr>
        <b/>
        <i/>
        <vertAlign val="subscript"/>
        <sz val="9"/>
        <color rgb="FF666666"/>
        <rFont val="Arial"/>
        <family val="2"/>
        <charset val="1"/>
      </rPr>
      <t>auto</t>
    </r>
    <r>
      <rPr>
        <b/>
        <i/>
        <sz val="9"/>
        <color rgb="FF666666"/>
        <rFont val="Arial"/>
        <family val="2"/>
        <charset val="1"/>
      </rPr>
      <t xml:space="preserve"> = [(Ut / δ) * L]* Op
</t>
    </r>
    <r>
      <rPr>
        <sz val="9"/>
        <rFont val="Arial"/>
        <family val="2"/>
        <charset val="1"/>
      </rPr>
      <t xml:space="preserve">
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</si>
  <si>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Nel caso di una zona 30 o di interventi di moderazione del traffico, la lunghezza da inserire è legata alla lunghezza totale dei tratti stradali coinvolti dall’intervento.</t>
  </si>
  <si>
    <t>Il valore rispecchia il bacino di utenza che può interessare l’intervento, con riferimento ai veicoli industriali. Può essere espresso come un valore percentuale sul totale della popolazione oppure come valore stimato dal proponente in funzione di analisi sulla mobilità dei cittadini. Nell’esempio viene valutato come 2% del parco veicoli industriali a livello comunale.</t>
  </si>
  <si>
    <r>
      <rPr>
        <sz val="10"/>
        <rFont val="Arial"/>
        <family val="2"/>
        <charset val="1"/>
      </rPr>
      <t>Gli interventi che riguardano la creazione di percorsi ciclabili generano una flessione fisiologica dei flussi dei veicoli privati, con particolare riferimento all’uso delle autovetture. La stima può essere fatta in funzione della popolazione residente disposta a passare dal mezzo privato alla bicicletta.
A</t>
    </r>
    <r>
      <rPr>
        <sz val="9"/>
        <rFont val="Arial"/>
        <family val="2"/>
        <charset val="1"/>
      </rPr>
      <t xml:space="preserve">i fini della stima della riduzione delle emissioni occorre inserire nella caselle evidenziate in giallo i dati di input riconducibili alla seguente formula: 
</t>
    </r>
    <r>
      <rPr>
        <b/>
        <i/>
        <sz val="9"/>
        <color rgb="FF666666"/>
        <rFont val="Arial"/>
        <family val="2"/>
        <charset val="1"/>
      </rPr>
      <t>∆km</t>
    </r>
    <r>
      <rPr>
        <b/>
        <i/>
        <vertAlign val="subscript"/>
        <sz val="9"/>
        <color rgb="FF666666"/>
        <rFont val="Arial"/>
        <family val="2"/>
        <charset val="1"/>
      </rPr>
      <t>auto</t>
    </r>
    <r>
      <rPr>
        <b/>
        <i/>
        <sz val="9"/>
        <color rgb="FF666666"/>
        <rFont val="Arial"/>
        <family val="2"/>
        <charset val="1"/>
      </rPr>
      <t xml:space="preserve"> = [(Ut / δ) * L]* Op
</t>
    </r>
    <r>
      <rPr>
        <sz val="9"/>
        <rFont val="Arial"/>
        <family val="2"/>
        <charset val="1"/>
      </rPr>
      <t>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</si>
  <si>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Il valore rispecchia il numero dei cittadini sottratti all’uso dell’automobile. Può essere espresso come un valore percentuale sul totale della popolazione oppure come valore stimato dal proponente in funzione di analisi sulla mobilità dei cittadini. Nell’esempio viene valutato come 5% dei cittadini residenti nel comune oggetto dell’intervento</t>
  </si>
  <si>
    <t>Nel caso di un percorso ciclabile, la lunghezza da inserire è legata alla lunghezza dei tratti realizzati nell’ambito dell’intervento.</t>
  </si>
  <si>
    <t>Può essere assunto un valore basato sul conteggio dei giorni lavorativi o sul totale dei giorni dell’anno in funzione della tipologia di luoghi di interesse che collega il percorso ciclabile.</t>
  </si>
  <si>
    <r>
      <rPr>
        <sz val="10"/>
        <rFont val="Arial"/>
        <family val="2"/>
        <charset val="1"/>
      </rPr>
      <t xml:space="preserve">In caso di interventi che riguardano la creazione di strade scolastiche ai fini della stima della riduzione delle emissioni occorre inserire nelle caselle evidenziate in giallo il numero di chilometri coinvolti nell’intervento e il numero di mezzi legati al trasporto del studenti che non vengono più utilizzati. Nel caso di una scuola elementare, si può ipotizzare un uso del mezzo privato pari al 50-70% degli iscritti al plesso scolastico coinvolto nell’intervento. Per le scuole medie tale valore può essere stimato nel 20-30%. </t>
    </r>
    <r>
      <rPr>
        <sz val="11"/>
        <rFont val="Arial"/>
        <family val="2"/>
        <charset val="1"/>
      </rPr>
      <t xml:space="preserve">Tali valori possono essere personalizzati dal proponente se sono disponibili dati più accurati e determinati sulla base di analisi di mobilità.
</t>
    </r>
    <r>
      <rPr>
        <sz val="10"/>
        <rFont val="Arial"/>
        <family val="2"/>
        <charset val="1"/>
      </rPr>
      <t xml:space="preserve">Sulla capacità dell’intervento di sottrarre mezzi privati sono presenti dati in letteratura molto solidi. Si può stimare una riduzione del 20% delle auto, sul totale delle auto interessate a raggiungere la scuola. 
Ai fini della stima della riduzione delle emissioni occorre inserire nella caselle evidenziate in giallo i dati di input riconducibili alla seguente formula: 
</t>
    </r>
    <r>
      <rPr>
        <b/>
        <i/>
        <sz val="9"/>
        <color rgb="FF666666"/>
        <rFont val="Arial"/>
        <family val="2"/>
        <charset val="1"/>
      </rPr>
      <t>∆km</t>
    </r>
    <r>
      <rPr>
        <b/>
        <i/>
        <vertAlign val="subscript"/>
        <sz val="9"/>
        <color rgb="FF666666"/>
        <rFont val="Arial"/>
        <family val="2"/>
        <charset val="1"/>
      </rPr>
      <t>auto</t>
    </r>
    <r>
      <rPr>
        <b/>
        <i/>
        <sz val="9"/>
        <color rgb="FF666666"/>
        <rFont val="Arial"/>
        <family val="2"/>
        <charset val="1"/>
      </rPr>
      <t xml:space="preserve"> = [(Ut / δ) * L]* Op
</t>
    </r>
    <r>
      <rPr>
        <sz val="10"/>
        <rFont val="Arial"/>
        <family val="2"/>
        <charset val="1"/>
      </rPr>
      <t xml:space="preserve">
</t>
    </r>
    <r>
      <rPr>
        <sz val="9"/>
        <rFont val="Arial"/>
        <family val="2"/>
        <charset val="1"/>
      </rPr>
      <t>dove: 
Ut è il numero di cittadini sottratti all’uso dell’autovettura per effetto dei trasferimenti modali (perché quotidianamente si spostano a piedi, in bicicletta e con i mezzi del TPL) per raggiungere i luoghi di interesse (la sede di lavoro, servizi etc.) del comune oggetto dell’intervento; 
δ è il tasso medio di occupazione di un’autovettura (da porre uguale a 1,2);
L è la percorrenza media giornaliera (andata e ritorno), espressa in km, effettuata dal cittadino per raggiungere i luoghi di interesse (la sede di lavoro, servizi etc.) del comune oggetto dell’intervento, utilizzando il mezzo privato;
Op è il numero di giorni in un anno in cui il cittadino si sposta a piedi, in bici o con il TPL per raggiungere i luoghi di interesse (la sede di lavoro, servizi etc.) del comune oggetto dell’intervento.</t>
    </r>
  </si>
  <si>
    <t>Numero di studenti del plesso scolastico coinvolto dall’intervento</t>
  </si>
  <si>
    <t>Scuola elementare</t>
  </si>
  <si>
    <t xml:space="preserve">Numero di automobili coinvolte </t>
  </si>
  <si>
    <t>Si stima 70% degli studenti iscritti</t>
  </si>
  <si>
    <t>Il valore rispecchia il numero dei cittadini che non usano più l’automobile per accompagnare i figli a scuola. Può essere espresso come un valore percentuale sul totale delle auto coinvolte. Nell’esempio viene valutato come 20% del numero di auto coinvolte.</t>
  </si>
  <si>
    <t>Nel caso di una strada scolastica che evita l’accesso diretto al plesso e che implica la sosta del mezzo privato in un’area di parcheggio, il parametro L può essere determinato come distanza tra area di sosta e plesso scolastico, moltiplicando per 2 (andata e ritorno) il valore.</t>
  </si>
  <si>
    <t>Può essere assunto un valore basato sul conteggio dei giorni di scuola nell’anno.</t>
  </si>
  <si>
    <t>Aree pedonali e placemaking</t>
  </si>
  <si>
    <t>TOTALE RIDUZIONE EMISSIVE</t>
  </si>
  <si>
    <t>Riduzione delle percorrenze (veh*km/anno)</t>
  </si>
  <si>
    <t>Zone 30 e interventi di moderazione del traffico</t>
  </si>
  <si>
    <t>Percorsi ciclabili</t>
  </si>
  <si>
    <t>Strade scolastiche</t>
  </si>
  <si>
    <t>Forestazione urbana</t>
  </si>
  <si>
    <t>Specie arborea</t>
  </si>
  <si>
    <t>Diametro medio (cm)</t>
  </si>
  <si>
    <t>PM10 (mg/m2)</t>
  </si>
  <si>
    <t>PM2.5 (mg/m2)</t>
  </si>
  <si>
    <t>CO2 (kg/m2)</t>
  </si>
  <si>
    <t>NO2 (g/m2)</t>
  </si>
  <si>
    <t>Superficie di insidenza (m2)</t>
  </si>
  <si>
    <t>Numero di piante</t>
  </si>
  <si>
    <t>Anni di progetto</t>
  </si>
  <si>
    <t>Assorbimenti PM10 (mg)</t>
  </si>
  <si>
    <t>Assorbimenti PM2,5 (mg)</t>
  </si>
  <si>
    <t>Assorbimenti CO2 (kg)*</t>
  </si>
  <si>
    <t>Assorbimenti NO2 (g)</t>
  </si>
  <si>
    <t>Cedrus glauca</t>
  </si>
  <si>
    <t>Pinus excelsa</t>
  </si>
  <si>
    <t>Pino eccelso</t>
  </si>
  <si>
    <t>Abies alba</t>
  </si>
  <si>
    <t>Abete bianco</t>
  </si>
  <si>
    <t>TOTALE (kg/anno)</t>
  </si>
  <si>
    <t>* ATTENZIONE: IL FOGLIO DI CALCOLO RELATIVO ALLA FORESTAZIONE URBANA CONTEGGIA GLI ASSORBIMENTI SUGLI ANNI TOTALI DI PROGETTO (30 ANNI). Ai fini della comparabilita’ dei risultati tra i diversi interventi, nella somma totale è necessario riportare le stime degli assorbimenti di CO2 al singolo anno.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</si>
</sst>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 #,##0.00\ ;\-* #,##0.00\ ;* \-#\ ;@\ "/>
    <numFmt numFmtId="165" formatCode="* #,##0\ ;\-* #,##0\ ;* \-#\ ;@\ "/>
    <numFmt numFmtId="166" formatCode="#,###"/>
    <numFmt numFmtId="168" formatCode="#,##0.0"/>
    <numFmt numFmtId="169" formatCode="0.000"/>
    <numFmt numFmtId="170" formatCode="0.0"/>
  </numFmts>
  <fonts count="19" x14ac:knownFonts="1">
    <font>
      <sz val="10"/>
      <name val="Arial"/>
      <family val="2"/>
      <charset val="1"/>
    </font>
    <font>
      <b/>
      <sz val="12"/>
      <color rgb="FF000000"/>
      <name val="Verdana"/>
      <charset val="1"/>
    </font>
    <font>
      <b/>
      <sz val="9"/>
      <color rgb="FF000000"/>
      <name val="Verdana"/>
      <charset val="1"/>
    </font>
    <font>
      <sz val="9"/>
      <color rgb="FF000000"/>
      <name val="Verdana"/>
      <charset val="1"/>
    </font>
    <font>
      <b/>
      <sz val="12"/>
      <name val="Times New Roman"/>
      <family val="1"/>
      <charset val="1"/>
    </font>
    <font>
      <sz val="12"/>
      <name val="Times New Roman"/>
      <family val="1"/>
      <charset val="1"/>
    </font>
    <font>
      <b/>
      <sz val="10"/>
      <name val="Arial"/>
      <family val="2"/>
      <charset val="1"/>
    </font>
    <font>
      <sz val="10"/>
      <name val="Times New Roman"/>
      <family val="1"/>
      <charset val="1"/>
    </font>
    <font>
      <b/>
      <sz val="12"/>
      <name val="Arial"/>
      <family val="2"/>
      <charset val="1"/>
    </font>
    <font>
      <sz val="9"/>
      <name val="Arial"/>
      <family val="2"/>
      <charset val="1"/>
    </font>
    <font>
      <b/>
      <sz val="9"/>
      <name val="Arial"/>
      <family val="2"/>
      <charset val="1"/>
    </font>
    <font>
      <b/>
      <i/>
      <sz val="9"/>
      <color rgb="FF666666"/>
      <name val="Arial"/>
      <family val="2"/>
      <charset val="1"/>
    </font>
    <font>
      <b/>
      <i/>
      <vertAlign val="subscript"/>
      <sz val="9"/>
      <color rgb="FF666666"/>
      <name val="Arial"/>
      <family val="2"/>
      <charset val="1"/>
    </font>
    <font>
      <sz val="10"/>
      <name val="Arial"/>
      <charset val="1"/>
    </font>
    <font>
      <b/>
      <vertAlign val="subscript"/>
      <sz val="10"/>
      <name val="Arial"/>
      <family val="2"/>
      <charset val="1"/>
    </font>
    <font>
      <sz val="10"/>
      <color rgb="FF0000FF"/>
      <name val="Arial"/>
      <family val="2"/>
      <charset val="1"/>
    </font>
    <font>
      <sz val="11"/>
      <name val="Arial"/>
      <family val="2"/>
      <charset val="1"/>
    </font>
    <font>
      <b/>
      <sz val="14"/>
      <name val="Arial"/>
      <family val="2"/>
      <charset val="1"/>
    </font>
    <font>
      <sz val="10"/>
      <name val="Arial"/>
      <family val="2"/>
      <charset val="1"/>
    </font>
  </fonts>
  <fills count="8">
    <fill>
      <patternFill patternType="none"/>
    </fill>
    <fill>
      <patternFill patternType="gray125"/>
    </fill>
    <fill>
      <patternFill patternType="solid">
        <fgColor rgb="FF81D41A"/>
        <bgColor rgb="FF969696"/>
      </patternFill>
    </fill>
    <fill>
      <patternFill patternType="solid">
        <fgColor rgb="FFFFFF00"/>
        <bgColor rgb="FFFFFF00"/>
      </patternFill>
    </fill>
    <fill>
      <patternFill patternType="solid">
        <fgColor rgb="FF729FCF"/>
        <bgColor rgb="FF969696"/>
      </patternFill>
    </fill>
    <fill>
      <patternFill patternType="solid">
        <fgColor rgb="FFE8F2A1"/>
        <bgColor rgb="FFFFFFCC"/>
      </patternFill>
    </fill>
    <fill>
      <patternFill patternType="solid">
        <fgColor rgb="FF00E676"/>
        <bgColor rgb="FF33CCCC"/>
      </patternFill>
    </fill>
    <fill>
      <patternFill patternType="solid">
        <fgColor rgb="FFFF0000"/>
        <bgColor rgb="FF993300"/>
      </patternFill>
    </fill>
  </fills>
  <borders count="22">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thin">
        <color auto="1"/>
      </left>
      <right style="thin">
        <color auto="1"/>
      </right>
      <top style="thin">
        <color auto="1"/>
      </top>
      <bottom style="thin">
        <color auto="1"/>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right style="hair">
        <color auto="1"/>
      </right>
      <top style="hair">
        <color auto="1"/>
      </top>
      <bottom/>
      <diagonal/>
    </border>
    <border>
      <left/>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xf numFmtId="164" fontId="18" fillId="0" borderId="0" applyBorder="0" applyProtection="0"/>
  </cellStyleXfs>
  <cellXfs count="165">
    <xf numFmtId="0" fontId="0" fillId="0" borderId="0" xfId="0"/>
    <xf numFmtId="168" fontId="6" fillId="6" borderId="7" xfId="0" applyNumberFormat="1" applyFont="1" applyFill="1" applyBorder="1" applyAlignment="1" applyProtection="1">
      <alignment horizontal="center" vertical="center"/>
    </xf>
    <xf numFmtId="49" fontId="6" fillId="0" borderId="7" xfId="0" applyNumberFormat="1" applyFont="1" applyBorder="1" applyAlignment="1" applyProtection="1">
      <alignment horizontal="center" vertical="center" wrapText="1"/>
    </xf>
    <xf numFmtId="0" fontId="0" fillId="0" borderId="0" xfId="0" applyFont="1" applyBorder="1" applyAlignment="1" applyProtection="1">
      <alignment wrapText="1"/>
    </xf>
    <xf numFmtId="0" fontId="0" fillId="0" borderId="0" xfId="0" applyFont="1" applyBorder="1" applyAlignment="1" applyProtection="1">
      <alignment horizontal="left" wrapText="1"/>
    </xf>
    <xf numFmtId="0" fontId="9" fillId="0" borderId="0" xfId="0" applyFont="1" applyBorder="1" applyAlignment="1" applyProtection="1">
      <alignment horizontal="left" vertical="top" wrapText="1"/>
    </xf>
    <xf numFmtId="0" fontId="0" fillId="2" borderId="7" xfId="0" applyFont="1" applyFill="1" applyBorder="1" applyAlignment="1" applyProtection="1">
      <alignment horizontal="center"/>
    </xf>
    <xf numFmtId="165" fontId="2" fillId="2" borderId="7" xfId="1" applyNumberFormat="1" applyFont="1" applyFill="1" applyBorder="1" applyAlignment="1" applyProtection="1">
      <alignment horizontal="center" vertical="center" wrapText="1"/>
    </xf>
    <xf numFmtId="0" fontId="2" fillId="2" borderId="7" xfId="0" applyFont="1" applyFill="1" applyBorder="1" applyAlignment="1" applyProtection="1">
      <alignment horizontal="center" vertical="center"/>
    </xf>
    <xf numFmtId="0" fontId="4" fillId="0" borderId="7" xfId="0" applyFont="1" applyBorder="1" applyAlignment="1" applyProtection="1">
      <alignment horizontal="center" vertical="center"/>
    </xf>
    <xf numFmtId="165" fontId="2" fillId="2" borderId="3" xfId="1" applyNumberFormat="1" applyFont="1" applyFill="1" applyBorder="1" applyAlignment="1" applyProtection="1">
      <alignment horizontal="center" vertical="top" wrapText="1"/>
    </xf>
    <xf numFmtId="0" fontId="1" fillId="0" borderId="0" xfId="0" applyFont="1" applyAlignment="1" applyProtection="1"/>
    <xf numFmtId="0" fontId="2" fillId="0" borderId="0" xfId="0" applyFont="1" applyAlignment="1" applyProtection="1">
      <alignment wrapText="1"/>
    </xf>
    <xf numFmtId="0" fontId="3" fillId="0" borderId="0" xfId="0" applyFont="1" applyAlignment="1" applyProtection="1">
      <alignment wrapText="1"/>
    </xf>
    <xf numFmtId="0" fontId="2" fillId="0" borderId="1" xfId="0" applyFont="1" applyBorder="1" applyAlignment="1" applyProtection="1">
      <alignment horizontal="center" vertical="center" wrapText="1"/>
    </xf>
    <xf numFmtId="165" fontId="2" fillId="0" borderId="2" xfId="1" applyNumberFormat="1" applyFont="1" applyBorder="1" applyAlignment="1" applyProtection="1">
      <alignment vertical="top" wrapText="1"/>
    </xf>
    <xf numFmtId="165" fontId="2" fillId="0" borderId="3" xfId="1" applyNumberFormat="1" applyFont="1" applyBorder="1" applyAlignment="1" applyProtection="1">
      <alignment vertical="top" wrapText="1"/>
    </xf>
    <xf numFmtId="165" fontId="3" fillId="0" borderId="3" xfId="1" applyNumberFormat="1" applyFont="1" applyBorder="1" applyAlignment="1" applyProtection="1">
      <alignment vertical="top" wrapText="1"/>
    </xf>
    <xf numFmtId="165" fontId="3" fillId="0" borderId="1" xfId="1" applyNumberFormat="1" applyFont="1" applyBorder="1" applyAlignment="1" applyProtection="1">
      <alignment horizontal="left" vertical="top" wrapText="1"/>
    </xf>
    <xf numFmtId="165" fontId="3" fillId="0" borderId="1" xfId="1" applyNumberFormat="1" applyFont="1" applyBorder="1" applyAlignment="1" applyProtection="1">
      <alignment vertical="center" wrapText="1"/>
    </xf>
    <xf numFmtId="165" fontId="3" fillId="0" borderId="1" xfId="1" applyNumberFormat="1" applyFont="1" applyBorder="1" applyAlignment="1" applyProtection="1">
      <alignment wrapText="1"/>
    </xf>
    <xf numFmtId="165" fontId="2" fillId="0" borderId="1" xfId="1" applyNumberFormat="1" applyFont="1" applyBorder="1" applyAlignment="1" applyProtection="1">
      <alignment vertical="center" wrapText="1"/>
    </xf>
    <xf numFmtId="165" fontId="3" fillId="0" borderId="4" xfId="1" applyNumberFormat="1" applyFont="1" applyBorder="1" applyAlignment="1" applyProtection="1">
      <alignment horizontal="left" vertical="top" wrapText="1"/>
    </xf>
    <xf numFmtId="165" fontId="3" fillId="0" borderId="5" xfId="1" applyNumberFormat="1" applyFont="1" applyBorder="1" applyAlignment="1" applyProtection="1">
      <alignment wrapText="1"/>
    </xf>
    <xf numFmtId="165" fontId="3" fillId="0" borderId="5" xfId="1" applyNumberFormat="1" applyFont="1" applyBorder="1" applyAlignment="1" applyProtection="1">
      <alignment vertical="center" wrapText="1"/>
    </xf>
    <xf numFmtId="165" fontId="3" fillId="0" borderId="1" xfId="1" applyNumberFormat="1" applyFont="1" applyBorder="1" applyAlignment="1" applyProtection="1">
      <alignment vertical="top" wrapText="1"/>
    </xf>
    <xf numFmtId="165" fontId="2" fillId="0" borderId="6" xfId="1" applyNumberFormat="1" applyFont="1" applyBorder="1" applyAlignment="1" applyProtection="1">
      <alignment vertical="top" wrapText="1"/>
    </xf>
    <xf numFmtId="165" fontId="3" fillId="0" borderId="4" xfId="1" applyNumberFormat="1" applyFont="1" applyBorder="1" applyAlignment="1" applyProtection="1">
      <alignment vertical="top" wrapText="1"/>
    </xf>
    <xf numFmtId="165" fontId="3" fillId="0" borderId="5" xfId="1" applyNumberFormat="1" applyFont="1" applyBorder="1" applyAlignment="1" applyProtection="1">
      <alignment horizontal="left" vertical="top" wrapText="1"/>
    </xf>
    <xf numFmtId="0" fontId="2" fillId="2" borderId="1" xfId="0" applyFont="1" applyFill="1" applyBorder="1" applyAlignment="1" applyProtection="1">
      <alignment horizontal="center" vertical="center" wrapText="1"/>
    </xf>
    <xf numFmtId="165" fontId="3" fillId="2" borderId="4" xfId="1" applyNumberFormat="1" applyFont="1" applyFill="1" applyBorder="1" applyAlignment="1" applyProtection="1">
      <alignment horizontal="center" vertical="center" wrapText="1"/>
    </xf>
    <xf numFmtId="165" fontId="3" fillId="2" borderId="3" xfId="1" applyNumberFormat="1" applyFont="1" applyFill="1" applyBorder="1" applyAlignment="1" applyProtection="1">
      <alignment horizontal="center" vertical="center" wrapText="1"/>
    </xf>
    <xf numFmtId="165" fontId="3" fillId="2" borderId="1" xfId="1" applyNumberFormat="1" applyFont="1" applyFill="1" applyBorder="1" applyAlignment="1" applyProtection="1">
      <alignment horizontal="left" vertical="top" wrapText="1"/>
    </xf>
    <xf numFmtId="165" fontId="3" fillId="2" borderId="1" xfId="1" applyNumberFormat="1" applyFont="1" applyFill="1" applyBorder="1" applyAlignment="1" applyProtection="1">
      <alignment vertical="top" wrapText="1"/>
    </xf>
    <xf numFmtId="165" fontId="3" fillId="2" borderId="6" xfId="1" applyNumberFormat="1" applyFont="1" applyFill="1" applyBorder="1" applyAlignment="1" applyProtection="1">
      <alignment horizontal="left" vertical="top" wrapText="1"/>
    </xf>
    <xf numFmtId="165" fontId="3" fillId="2" borderId="1" xfId="1" applyNumberFormat="1" applyFont="1" applyFill="1" applyBorder="1" applyAlignment="1" applyProtection="1">
      <alignment wrapText="1"/>
    </xf>
    <xf numFmtId="165" fontId="3" fillId="2" borderId="1" xfId="1" applyNumberFormat="1" applyFont="1" applyFill="1" applyBorder="1" applyAlignment="1" applyProtection="1">
      <alignment vertical="center" wrapText="1"/>
    </xf>
    <xf numFmtId="165" fontId="2" fillId="2" borderId="1" xfId="1" applyNumberFormat="1" applyFont="1" applyFill="1" applyBorder="1" applyAlignment="1" applyProtection="1">
      <alignment vertical="center" wrapText="1"/>
    </xf>
    <xf numFmtId="165" fontId="3" fillId="2" borderId="1" xfId="1" applyNumberFormat="1" applyFont="1" applyFill="1" applyBorder="1" applyAlignment="1" applyProtection="1">
      <alignment horizontal="center" vertical="center" wrapText="1"/>
    </xf>
    <xf numFmtId="165" fontId="3" fillId="2" borderId="6" xfId="1" applyNumberFormat="1" applyFont="1" applyFill="1" applyBorder="1" applyAlignment="1" applyProtection="1">
      <alignment horizontal="center" vertical="center" wrapText="1"/>
    </xf>
    <xf numFmtId="10" fontId="3" fillId="2" borderId="1" xfId="1" applyNumberFormat="1" applyFont="1" applyFill="1" applyBorder="1" applyAlignment="1" applyProtection="1">
      <alignment wrapText="1"/>
    </xf>
    <xf numFmtId="0" fontId="0" fillId="0" borderId="0" xfId="0" applyAlignment="1" applyProtection="1"/>
    <xf numFmtId="165" fontId="2" fillId="2" borderId="7" xfId="1" applyNumberFormat="1" applyFont="1" applyFill="1" applyBorder="1" applyAlignment="1" applyProtection="1">
      <alignment horizontal="left" vertical="center" wrapText="1"/>
    </xf>
    <xf numFmtId="165" fontId="3" fillId="2" borderId="7" xfId="1" applyNumberFormat="1" applyFont="1" applyFill="1" applyBorder="1" applyAlignment="1" applyProtection="1">
      <alignment horizontal="left" vertical="center" wrapText="1"/>
    </xf>
    <xf numFmtId="166" fontId="3" fillId="2" borderId="1" xfId="1" applyNumberFormat="1" applyFont="1" applyFill="1" applyBorder="1" applyAlignment="1" applyProtection="1">
      <alignment horizontal="center" vertical="center" wrapText="1"/>
    </xf>
    <xf numFmtId="166" fontId="3" fillId="2" borderId="1" xfId="1" applyNumberFormat="1" applyFont="1" applyFill="1" applyBorder="1" applyAlignment="1" applyProtection="1">
      <alignment wrapText="1"/>
    </xf>
    <xf numFmtId="3" fontId="3" fillId="2" borderId="1" xfId="1" applyNumberFormat="1" applyFont="1" applyFill="1" applyBorder="1" applyAlignment="1" applyProtection="1">
      <alignment wrapText="1"/>
    </xf>
    <xf numFmtId="0" fontId="4" fillId="0" borderId="7" xfId="0" applyFont="1" applyBorder="1" applyAlignment="1" applyProtection="1">
      <alignment horizontal="center" vertical="center"/>
    </xf>
    <xf numFmtId="0" fontId="4" fillId="0" borderId="7" xfId="0" applyFont="1" applyBorder="1" applyAlignment="1" applyProtection="1">
      <alignment horizontal="center" vertical="center" wrapText="1"/>
    </xf>
    <xf numFmtId="0" fontId="4" fillId="3" borderId="7" xfId="0" applyFont="1" applyFill="1" applyBorder="1" applyAlignment="1" applyProtection="1">
      <alignment horizontal="center" vertical="center"/>
    </xf>
    <xf numFmtId="0" fontId="4" fillId="2" borderId="7" xfId="0" applyFont="1" applyFill="1" applyBorder="1" applyAlignment="1" applyProtection="1">
      <alignment horizontal="center" vertical="center" wrapText="1"/>
    </xf>
    <xf numFmtId="0" fontId="4" fillId="3" borderId="7" xfId="0" applyFont="1" applyFill="1" applyBorder="1" applyAlignment="1" applyProtection="1">
      <alignment horizontal="center"/>
    </xf>
    <xf numFmtId="0" fontId="4" fillId="2" borderId="7" xfId="0" applyFont="1" applyFill="1" applyBorder="1" applyAlignment="1" applyProtection="1">
      <alignment horizontal="center"/>
    </xf>
    <xf numFmtId="0" fontId="5" fillId="0" borderId="7" xfId="0" applyFont="1" applyBorder="1" applyAlignment="1" applyProtection="1"/>
    <xf numFmtId="3" fontId="5" fillId="0" borderId="7" xfId="0" applyNumberFormat="1" applyFont="1" applyBorder="1" applyAlignment="1" applyProtection="1">
      <alignment horizontal="center"/>
    </xf>
    <xf numFmtId="3" fontId="5" fillId="3" borderId="7" xfId="1" applyNumberFormat="1" applyFont="1" applyFill="1" applyBorder="1" applyAlignment="1" applyProtection="1">
      <alignment horizontal="center"/>
    </xf>
    <xf numFmtId="3" fontId="5" fillId="2" borderId="7" xfId="1" applyNumberFormat="1" applyFont="1" applyFill="1" applyBorder="1" applyAlignment="1" applyProtection="1">
      <alignment horizontal="center"/>
    </xf>
    <xf numFmtId="4" fontId="5" fillId="2" borderId="7" xfId="1" applyNumberFormat="1" applyFont="1" applyFill="1" applyBorder="1" applyAlignment="1" applyProtection="1">
      <alignment horizontal="center"/>
    </xf>
    <xf numFmtId="168" fontId="5" fillId="3" borderId="7" xfId="1" applyNumberFormat="1" applyFont="1" applyFill="1" applyBorder="1" applyAlignment="1" applyProtection="1">
      <alignment horizontal="center"/>
    </xf>
    <xf numFmtId="0" fontId="6" fillId="0" borderId="7" xfId="0" applyFont="1" applyBorder="1" applyAlignment="1" applyProtection="1"/>
    <xf numFmtId="0" fontId="0" fillId="0" borderId="7" xfId="0" applyFont="1" applyBorder="1" applyAlignment="1" applyProtection="1"/>
    <xf numFmtId="4" fontId="5" fillId="0" borderId="7" xfId="0" applyNumberFormat="1" applyFont="1" applyBorder="1" applyAlignment="1" applyProtection="1">
      <alignment horizontal="center"/>
    </xf>
    <xf numFmtId="0" fontId="6" fillId="4" borderId="7" xfId="0" applyFont="1" applyFill="1" applyBorder="1" applyAlignment="1" applyProtection="1"/>
    <xf numFmtId="0" fontId="4" fillId="2" borderId="7" xfId="0" applyFont="1" applyFill="1" applyBorder="1" applyAlignment="1" applyProtection="1">
      <alignment horizontal="center" vertical="center"/>
    </xf>
    <xf numFmtId="0" fontId="6" fillId="5" borderId="7" xfId="0" applyFont="1" applyFill="1" applyBorder="1" applyAlignment="1" applyProtection="1">
      <alignment wrapText="1"/>
    </xf>
    <xf numFmtId="1" fontId="6" fillId="5" borderId="7" xfId="0" applyNumberFormat="1" applyFont="1" applyFill="1" applyBorder="1" applyAlignment="1" applyProtection="1"/>
    <xf numFmtId="0" fontId="1" fillId="0" borderId="0" xfId="0" applyFont="1" applyAlignment="1" applyProtection="1">
      <alignment wrapText="1"/>
    </xf>
    <xf numFmtId="0" fontId="3" fillId="0" borderId="0" xfId="0" applyFont="1" applyAlignment="1" applyProtection="1">
      <alignment vertical="center" wrapText="1"/>
    </xf>
    <xf numFmtId="165" fontId="2" fillId="0" borderId="1" xfId="1" applyNumberFormat="1" applyFont="1" applyBorder="1" applyAlignment="1" applyProtection="1">
      <alignment horizontal="center" vertical="center" wrapText="1"/>
    </xf>
    <xf numFmtId="165" fontId="3" fillId="0" borderId="8" xfId="1" applyNumberFormat="1" applyFont="1" applyBorder="1" applyAlignment="1" applyProtection="1">
      <alignment vertical="top" wrapText="1"/>
    </xf>
    <xf numFmtId="165" fontId="3" fillId="0" borderId="9" xfId="1" applyNumberFormat="1" applyFont="1" applyBorder="1" applyAlignment="1" applyProtection="1">
      <alignment vertical="top" wrapText="1"/>
    </xf>
    <xf numFmtId="165" fontId="3" fillId="0" borderId="10" xfId="1" applyNumberFormat="1" applyFont="1" applyBorder="1" applyAlignment="1" applyProtection="1">
      <alignment vertical="top" wrapText="1"/>
    </xf>
    <xf numFmtId="165" fontId="2" fillId="2" borderId="7" xfId="1" applyNumberFormat="1" applyFont="1" applyFill="1" applyBorder="1" applyAlignment="1" applyProtection="1">
      <alignment horizontal="center" vertical="center" wrapText="1"/>
    </xf>
    <xf numFmtId="0" fontId="0" fillId="2" borderId="7" xfId="0" applyFill="1" applyBorder="1" applyAlignment="1" applyProtection="1"/>
    <xf numFmtId="165" fontId="2" fillId="2" borderId="1" xfId="1" applyNumberFormat="1" applyFont="1" applyFill="1" applyBorder="1" applyAlignment="1" applyProtection="1">
      <alignment horizontal="center" vertical="center" wrapText="1"/>
    </xf>
    <xf numFmtId="165" fontId="3" fillId="2" borderId="8" xfId="1" applyNumberFormat="1" applyFont="1" applyFill="1" applyBorder="1" applyAlignment="1" applyProtection="1">
      <alignment horizontal="center" vertical="center" wrapText="1"/>
    </xf>
    <xf numFmtId="165" fontId="3" fillId="2" borderId="11" xfId="1" applyNumberFormat="1" applyFont="1" applyFill="1" applyBorder="1" applyAlignment="1" applyProtection="1">
      <alignment horizontal="center" vertical="center" wrapText="1"/>
    </xf>
    <xf numFmtId="165" fontId="3" fillId="2" borderId="7" xfId="1" applyNumberFormat="1" applyFont="1" applyFill="1" applyBorder="1" applyAlignment="1" applyProtection="1">
      <alignment horizontal="center" vertical="center" wrapText="1"/>
    </xf>
    <xf numFmtId="165" fontId="3" fillId="2" borderId="6" xfId="1" applyNumberFormat="1" applyFont="1" applyFill="1" applyBorder="1" applyAlignment="1" applyProtection="1">
      <alignment vertical="center" wrapText="1"/>
    </xf>
    <xf numFmtId="165" fontId="3" fillId="2" borderId="6" xfId="1" applyNumberFormat="1" applyFont="1" applyFill="1" applyBorder="1" applyAlignment="1" applyProtection="1">
      <alignment wrapText="1"/>
    </xf>
    <xf numFmtId="10" fontId="3" fillId="2" borderId="6" xfId="1" applyNumberFormat="1" applyFont="1" applyFill="1" applyBorder="1" applyAlignment="1" applyProtection="1">
      <alignment vertical="center" wrapText="1"/>
    </xf>
    <xf numFmtId="0" fontId="2" fillId="0" borderId="0" xfId="0" applyFont="1" applyAlignment="1" applyProtection="1">
      <alignment vertical="center" wrapText="1"/>
    </xf>
    <xf numFmtId="165" fontId="3" fillId="0" borderId="6" xfId="1" applyNumberFormat="1" applyFont="1" applyBorder="1" applyAlignment="1" applyProtection="1">
      <alignment vertical="top" wrapText="1"/>
    </xf>
    <xf numFmtId="165" fontId="3" fillId="0" borderId="2" xfId="1" applyNumberFormat="1" applyFont="1" applyBorder="1" applyAlignment="1" applyProtection="1">
      <alignment vertical="top" wrapText="1"/>
    </xf>
    <xf numFmtId="165" fontId="2" fillId="0" borderId="1" xfId="1" applyNumberFormat="1" applyFont="1" applyBorder="1" applyAlignment="1" applyProtection="1">
      <alignment wrapText="1"/>
    </xf>
    <xf numFmtId="165" fontId="3" fillId="0" borderId="5" xfId="1" applyNumberFormat="1" applyFont="1" applyBorder="1" applyAlignment="1" applyProtection="1">
      <alignment vertical="top" wrapText="1"/>
    </xf>
    <xf numFmtId="165" fontId="3" fillId="2" borderId="7" xfId="1" applyNumberFormat="1" applyFont="1" applyFill="1" applyBorder="1" applyAlignment="1" applyProtection="1">
      <alignment horizontal="left" vertical="top" wrapText="1"/>
    </xf>
    <xf numFmtId="165" fontId="3" fillId="2" borderId="7" xfId="1" applyNumberFormat="1" applyFont="1" applyFill="1" applyBorder="1" applyAlignment="1" applyProtection="1">
      <alignment vertical="top" wrapText="1"/>
    </xf>
    <xf numFmtId="165" fontId="3" fillId="2" borderId="7" xfId="1" applyNumberFormat="1" applyFont="1" applyFill="1" applyBorder="1" applyAlignment="1" applyProtection="1">
      <alignment vertical="center" wrapText="1"/>
    </xf>
    <xf numFmtId="165" fontId="3" fillId="2" borderId="7" xfId="1" applyNumberFormat="1" applyFont="1" applyFill="1" applyBorder="1" applyAlignment="1" applyProtection="1">
      <alignment wrapText="1"/>
    </xf>
    <xf numFmtId="165" fontId="2" fillId="2" borderId="7" xfId="1" applyNumberFormat="1" applyFont="1" applyFill="1" applyBorder="1" applyAlignment="1" applyProtection="1">
      <alignment vertical="center" wrapText="1"/>
    </xf>
    <xf numFmtId="165" fontId="2" fillId="2" borderId="7" xfId="1" applyNumberFormat="1" applyFont="1" applyFill="1" applyBorder="1" applyAlignment="1" applyProtection="1">
      <alignment wrapText="1"/>
    </xf>
    <xf numFmtId="10" fontId="3" fillId="2" borderId="7" xfId="1" applyNumberFormat="1" applyFont="1" applyFill="1" applyBorder="1" applyAlignment="1" applyProtection="1">
      <alignment vertical="center" wrapText="1"/>
    </xf>
    <xf numFmtId="165" fontId="2" fillId="0" borderId="12" xfId="1" applyNumberFormat="1" applyFont="1" applyBorder="1" applyAlignment="1" applyProtection="1">
      <alignment vertical="top" wrapText="1"/>
    </xf>
    <xf numFmtId="1" fontId="0" fillId="2" borderId="7" xfId="0" applyNumberFormat="1" applyFill="1" applyBorder="1" applyAlignment="1" applyProtection="1"/>
    <xf numFmtId="0" fontId="7" fillId="0" borderId="0" xfId="0" applyFont="1" applyAlignment="1" applyProtection="1"/>
    <xf numFmtId="0" fontId="5" fillId="0" borderId="13" xfId="0" applyFont="1" applyBorder="1" applyAlignment="1" applyProtection="1"/>
    <xf numFmtId="0" fontId="5" fillId="0" borderId="14" xfId="0" applyFont="1" applyBorder="1" applyAlignment="1" applyProtection="1"/>
    <xf numFmtId="0" fontId="5" fillId="0" borderId="15" xfId="0" applyFont="1" applyBorder="1" applyAlignment="1" applyProtection="1"/>
    <xf numFmtId="3" fontId="5" fillId="0" borderId="16" xfId="0" applyNumberFormat="1" applyFont="1" applyBorder="1" applyAlignment="1" applyProtection="1">
      <alignment horizontal="center" vertical="center"/>
    </xf>
    <xf numFmtId="3" fontId="5" fillId="3" borderId="0" xfId="0" applyNumberFormat="1" applyFont="1" applyFill="1" applyBorder="1" applyAlignment="1" applyProtection="1">
      <alignment horizontal="center" vertical="center"/>
    </xf>
    <xf numFmtId="3" fontId="5" fillId="2" borderId="0" xfId="0" applyNumberFormat="1" applyFont="1" applyFill="1" applyBorder="1" applyAlignment="1" applyProtection="1">
      <alignment horizontal="center" vertical="center"/>
    </xf>
    <xf numFmtId="168" fontId="5" fillId="3" borderId="0" xfId="0" applyNumberFormat="1" applyFont="1" applyFill="1" applyBorder="1" applyAlignment="1" applyProtection="1">
      <alignment horizontal="center" vertical="center"/>
    </xf>
    <xf numFmtId="0" fontId="5" fillId="0" borderId="16" xfId="0" applyFont="1" applyBorder="1" applyAlignment="1" applyProtection="1"/>
    <xf numFmtId="0" fontId="5" fillId="0" borderId="0" xfId="0" applyFont="1" applyBorder="1" applyAlignment="1" applyProtection="1"/>
    <xf numFmtId="0" fontId="5" fillId="0" borderId="17" xfId="0" applyFont="1" applyBorder="1" applyAlignment="1" applyProtection="1"/>
    <xf numFmtId="3" fontId="5" fillId="0" borderId="13" xfId="0" applyNumberFormat="1" applyFont="1" applyBorder="1" applyAlignment="1" applyProtection="1">
      <alignment horizontal="center" vertical="center"/>
    </xf>
    <xf numFmtId="3" fontId="5" fillId="3" borderId="14" xfId="0" applyNumberFormat="1" applyFont="1" applyFill="1" applyBorder="1" applyAlignment="1" applyProtection="1">
      <alignment horizontal="center" vertical="center"/>
    </xf>
    <xf numFmtId="168" fontId="5" fillId="3" borderId="14" xfId="0" applyNumberFormat="1" applyFont="1" applyFill="1" applyBorder="1" applyAlignment="1" applyProtection="1">
      <alignment horizontal="center" vertical="center"/>
    </xf>
    <xf numFmtId="0" fontId="5" fillId="0" borderId="18" xfId="0" applyFont="1" applyBorder="1" applyAlignment="1" applyProtection="1">
      <alignment horizontal="left" vertical="center"/>
    </xf>
    <xf numFmtId="168" fontId="6" fillId="0" borderId="0" xfId="0" applyNumberFormat="1" applyFont="1" applyAlignment="1" applyProtection="1"/>
    <xf numFmtId="0" fontId="6" fillId="0" borderId="0" xfId="0" applyFont="1" applyAlignment="1" applyProtection="1"/>
    <xf numFmtId="3" fontId="6" fillId="0" borderId="0" xfId="0" applyNumberFormat="1" applyFont="1" applyAlignment="1" applyProtection="1"/>
    <xf numFmtId="0" fontId="4" fillId="0" borderId="0" xfId="0" applyFont="1" applyAlignment="1" applyProtection="1"/>
    <xf numFmtId="3" fontId="5" fillId="2" borderId="14" xfId="0" applyNumberFormat="1" applyFont="1" applyFill="1" applyBorder="1" applyAlignment="1" applyProtection="1">
      <alignment horizontal="center" vertical="center"/>
    </xf>
    <xf numFmtId="3" fontId="5" fillId="0" borderId="14" xfId="0" applyNumberFormat="1" applyFont="1" applyBorder="1" applyAlignment="1" applyProtection="1">
      <alignment horizontal="center" vertical="center"/>
    </xf>
    <xf numFmtId="168" fontId="5" fillId="0" borderId="14" xfId="0" applyNumberFormat="1" applyFont="1" applyBorder="1" applyAlignment="1" applyProtection="1">
      <alignment horizontal="center" vertical="center"/>
    </xf>
    <xf numFmtId="3" fontId="5" fillId="0" borderId="0" xfId="0" applyNumberFormat="1" applyFont="1" applyBorder="1" applyAlignment="1" applyProtection="1">
      <alignment horizontal="center" vertical="center"/>
    </xf>
    <xf numFmtId="168" fontId="5" fillId="0" borderId="0" xfId="0" applyNumberFormat="1" applyFont="1" applyBorder="1" applyAlignment="1" applyProtection="1">
      <alignment horizontal="center" vertical="center"/>
    </xf>
    <xf numFmtId="0" fontId="5" fillId="0" borderId="19" xfId="0" applyFont="1" applyBorder="1" applyAlignment="1" applyProtection="1"/>
    <xf numFmtId="0" fontId="5" fillId="0" borderId="20" xfId="0" applyFont="1" applyBorder="1" applyAlignment="1" applyProtection="1"/>
    <xf numFmtId="0" fontId="5" fillId="0" borderId="21" xfId="0" applyFont="1" applyBorder="1" applyAlignment="1" applyProtection="1"/>
    <xf numFmtId="3" fontId="5" fillId="0" borderId="19" xfId="0" applyNumberFormat="1" applyFont="1" applyBorder="1" applyAlignment="1" applyProtection="1">
      <alignment horizontal="center" vertical="center"/>
    </xf>
    <xf numFmtId="3" fontId="5" fillId="0" borderId="20" xfId="0" applyNumberFormat="1" applyFont="1" applyBorder="1" applyAlignment="1" applyProtection="1">
      <alignment horizontal="center" vertical="center"/>
    </xf>
    <xf numFmtId="168" fontId="5" fillId="0" borderId="20" xfId="0" applyNumberFormat="1" applyFont="1" applyBorder="1" applyAlignment="1" applyProtection="1">
      <alignment horizontal="center" vertical="center"/>
    </xf>
    <xf numFmtId="0" fontId="0" fillId="0" borderId="0" xfId="0" applyFont="1" applyAlignment="1" applyProtection="1"/>
    <xf numFmtId="0" fontId="0" fillId="0" borderId="1" xfId="0" applyBorder="1" applyAlignment="1" applyProtection="1"/>
    <xf numFmtId="3" fontId="0" fillId="3" borderId="7" xfId="0" applyNumberFormat="1" applyFill="1" applyBorder="1" applyAlignment="1" applyProtection="1"/>
    <xf numFmtId="169" fontId="0" fillId="0" borderId="0" xfId="0" applyNumberFormat="1" applyAlignment="1" applyProtection="1"/>
    <xf numFmtId="2" fontId="0" fillId="3" borderId="7" xfId="0" applyNumberFormat="1" applyFill="1" applyBorder="1" applyAlignment="1" applyProtection="1"/>
    <xf numFmtId="2" fontId="0" fillId="0" borderId="7" xfId="0" applyNumberFormat="1" applyBorder="1" applyAlignment="1" applyProtection="1"/>
    <xf numFmtId="0" fontId="8" fillId="2" borderId="7" xfId="0" applyFont="1" applyFill="1" applyBorder="1" applyAlignment="1" applyProtection="1">
      <alignment horizontal="center" vertical="center"/>
    </xf>
    <xf numFmtId="0" fontId="8" fillId="3" borderId="7" xfId="0" applyFont="1" applyFill="1" applyBorder="1" applyAlignment="1" applyProtection="1">
      <alignment horizontal="center" vertical="center"/>
    </xf>
    <xf numFmtId="0" fontId="8" fillId="2" borderId="7" xfId="0" applyFont="1" applyFill="1" applyBorder="1" applyAlignment="1" applyProtection="1">
      <alignment horizontal="center"/>
    </xf>
    <xf numFmtId="0" fontId="8" fillId="3" borderId="7" xfId="0" applyFont="1" applyFill="1" applyBorder="1" applyAlignment="1" applyProtection="1">
      <alignment horizontal="center"/>
    </xf>
    <xf numFmtId="3" fontId="6" fillId="5" borderId="7" xfId="0" applyNumberFormat="1" applyFont="1" applyFill="1" applyBorder="1" applyAlignment="1" applyProtection="1"/>
    <xf numFmtId="0" fontId="13" fillId="0" borderId="0" xfId="0" applyFont="1" applyBorder="1" applyAlignment="1" applyProtection="1">
      <alignment wrapText="1"/>
    </xf>
    <xf numFmtId="0" fontId="6" fillId="0" borderId="7" xfId="0" applyFont="1" applyBorder="1" applyAlignment="1" applyProtection="1">
      <alignment horizontal="left" wrapText="1"/>
    </xf>
    <xf numFmtId="0" fontId="0" fillId="3" borderId="7" xfId="0" applyFill="1" applyBorder="1" applyAlignment="1" applyProtection="1"/>
    <xf numFmtId="0" fontId="6" fillId="0" borderId="0" xfId="0" applyFont="1" applyBorder="1" applyAlignment="1" applyProtection="1"/>
    <xf numFmtId="0" fontId="8" fillId="0" borderId="7" xfId="0" applyFont="1" applyBorder="1" applyAlignment="1" applyProtection="1">
      <alignment horizontal="center" vertical="center" wrapText="1"/>
    </xf>
    <xf numFmtId="1" fontId="0" fillId="0" borderId="7" xfId="0" applyNumberFormat="1" applyFont="1" applyBorder="1" applyAlignment="1" applyProtection="1">
      <alignment horizontal="center"/>
    </xf>
    <xf numFmtId="168" fontId="0" fillId="6" borderId="7" xfId="0" applyNumberFormat="1" applyFont="1" applyFill="1" applyBorder="1" applyAlignment="1" applyProtection="1">
      <alignment horizontal="center"/>
    </xf>
    <xf numFmtId="0" fontId="0" fillId="0" borderId="7" xfId="0" applyFont="1" applyBorder="1" applyAlignment="1" applyProtection="1">
      <alignment horizontal="center"/>
    </xf>
    <xf numFmtId="168" fontId="6" fillId="6" borderId="7" xfId="0" applyNumberFormat="1" applyFont="1" applyFill="1" applyBorder="1" applyAlignment="1" applyProtection="1">
      <alignment horizontal="center"/>
    </xf>
    <xf numFmtId="0" fontId="8" fillId="0" borderId="7" xfId="0" applyFont="1" applyBorder="1" applyAlignment="1" applyProtection="1"/>
    <xf numFmtId="0" fontId="15" fillId="0" borderId="0" xfId="0" applyFont="1" applyAlignment="1" applyProtection="1"/>
    <xf numFmtId="168" fontId="0" fillId="6" borderId="7" xfId="0" applyNumberFormat="1" applyFill="1" applyBorder="1" applyAlignment="1" applyProtection="1">
      <alignment horizontal="center"/>
    </xf>
    <xf numFmtId="0" fontId="0" fillId="3" borderId="7" xfId="0" applyFont="1" applyFill="1" applyBorder="1" applyAlignment="1" applyProtection="1"/>
    <xf numFmtId="3" fontId="0" fillId="3" borderId="7" xfId="0" applyNumberFormat="1" applyFont="1" applyFill="1" applyBorder="1" applyAlignment="1" applyProtection="1"/>
    <xf numFmtId="0" fontId="0" fillId="0" borderId="0" xfId="0" applyFont="1" applyAlignment="1" applyProtection="1">
      <alignment wrapText="1"/>
    </xf>
    <xf numFmtId="0" fontId="0" fillId="3" borderId="7" xfId="0" applyFont="1" applyFill="1" applyBorder="1" applyAlignment="1" applyProtection="1">
      <alignment wrapText="1"/>
    </xf>
    <xf numFmtId="0" fontId="8" fillId="0" borderId="0" xfId="0" applyFont="1" applyAlignment="1" applyProtection="1"/>
    <xf numFmtId="0" fontId="17" fillId="0" borderId="0" xfId="0" applyFont="1" applyAlignment="1" applyProtection="1"/>
    <xf numFmtId="0" fontId="17" fillId="0" borderId="7" xfId="0" applyFont="1" applyBorder="1" applyAlignment="1" applyProtection="1">
      <alignment horizontal="center" vertical="center"/>
    </xf>
    <xf numFmtId="0" fontId="17" fillId="2" borderId="7" xfId="0" applyFont="1" applyFill="1" applyBorder="1" applyAlignment="1" applyProtection="1">
      <alignment horizontal="center" vertical="center"/>
    </xf>
    <xf numFmtId="0" fontId="17" fillId="3" borderId="7" xfId="0" applyFont="1" applyFill="1" applyBorder="1" applyAlignment="1" applyProtection="1">
      <alignment horizontal="center" vertical="center"/>
    </xf>
    <xf numFmtId="168" fontId="17" fillId="6" borderId="7" xfId="0" applyNumberFormat="1" applyFont="1" applyFill="1" applyBorder="1" applyAlignment="1" applyProtection="1">
      <alignment horizontal="center"/>
    </xf>
    <xf numFmtId="0" fontId="17" fillId="2" borderId="7" xfId="0" applyFont="1" applyFill="1" applyBorder="1" applyAlignment="1" applyProtection="1">
      <alignment horizontal="center"/>
    </xf>
    <xf numFmtId="0" fontId="17" fillId="0" borderId="0" xfId="0" applyFont="1" applyBorder="1" applyAlignment="1" applyProtection="1">
      <alignment horizontal="center" vertical="center"/>
    </xf>
    <xf numFmtId="49" fontId="6" fillId="0" borderId="7" xfId="0" applyNumberFormat="1" applyFont="1" applyBorder="1" applyAlignment="1" applyProtection="1">
      <alignment horizontal="center" vertical="center" wrapText="1"/>
    </xf>
    <xf numFmtId="49" fontId="6" fillId="3" borderId="7" xfId="0" applyNumberFormat="1" applyFont="1" applyFill="1" applyBorder="1" applyAlignment="1" applyProtection="1">
      <alignment horizontal="center" vertical="center" wrapText="1"/>
    </xf>
    <xf numFmtId="49" fontId="6" fillId="7" borderId="7" xfId="0" applyNumberFormat="1" applyFont="1" applyFill="1" applyBorder="1" applyAlignment="1" applyProtection="1">
      <alignment horizontal="center" vertical="center" wrapText="1"/>
    </xf>
    <xf numFmtId="170" fontId="0" fillId="0" borderId="7" xfId="0" applyNumberFormat="1" applyFont="1" applyBorder="1" applyAlignment="1" applyProtection="1">
      <alignment horizontal="center"/>
    </xf>
    <xf numFmtId="4" fontId="6" fillId="6" borderId="7" xfId="0" applyNumberFormat="1" applyFont="1" applyFill="1" applyBorder="1" applyAlignment="1" applyProtection="1">
      <alignment horizontal="center"/>
    </xf>
  </cellXfs>
  <cellStyles count="2">
    <cellStyle name="Migliaia" xfId="1" builtinId="3"/>
    <cellStyle name="Normale" xfId="0" builtinId="0"/>
  </cellStyles>
  <dxfs count="0"/>
  <tableStyles count="0" defaultTableStyle="TableStyleMedium2" defaultPivotStyle="PivotStyleLight16"/>
  <colors>
    <indexedColors>
      <rgbColor rgb="FF000000"/>
      <rgbColor rgb="FFFFFFFF"/>
      <rgbColor rgb="FFFF0000"/>
      <rgbColor rgb="FF00E676"/>
      <rgbColor rgb="FF0000FF"/>
      <rgbColor rgb="FFFFFF00"/>
      <rgbColor rgb="FFFF00FF"/>
      <rgbColor rgb="FF00FFFF"/>
      <rgbColor rgb="FF800000"/>
      <rgbColor rgb="FF008000"/>
      <rgbColor rgb="FF000080"/>
      <rgbColor rgb="FF808000"/>
      <rgbColor rgb="FF800080"/>
      <rgbColor rgb="FF008080"/>
      <rgbColor rgb="FFC0C0C0"/>
      <rgbColor rgb="FF808080"/>
      <rgbColor rgb="FF729FC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E8F2A1"/>
      <rgbColor rgb="FF99CCFF"/>
      <rgbColor rgb="FFFF99CC"/>
      <rgbColor rgb="FFCC99FF"/>
      <rgbColor rgb="FFFFCC99"/>
      <rgbColor rgb="FF3366FF"/>
      <rgbColor rgb="FF33CCCC"/>
      <rgbColor rgb="FF81D41A"/>
      <rgbColor rgb="FFFFCC00"/>
      <rgbColor rgb="FFFF9900"/>
      <rgbColor rgb="FFFF6600"/>
      <rgbColor rgb="FF666666"/>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http://www.ipcc.ch/"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ipcc.ch/"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ipcc.ch/"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www.ipcc.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7"/>
  <sheetViews>
    <sheetView tabSelected="1" zoomScale="80" zoomScaleNormal="80" workbookViewId="0">
      <selection activeCell="A54" sqref="A54"/>
    </sheetView>
  </sheetViews>
  <sheetFormatPr defaultColWidth="11.5546875" defaultRowHeight="12.75" customHeight="1" x14ac:dyDescent="0.25"/>
  <sheetData>
    <row r="1" spans="1:20" ht="16.2" x14ac:dyDescent="0.3">
      <c r="A1" s="11" t="s">
        <v>0</v>
      </c>
      <c r="B1" s="12"/>
      <c r="C1" s="13"/>
      <c r="D1" s="13"/>
      <c r="E1" s="13"/>
      <c r="F1" s="13"/>
      <c r="G1" s="13"/>
      <c r="H1" s="13"/>
      <c r="I1" s="13"/>
      <c r="J1" s="13"/>
      <c r="K1" s="13"/>
      <c r="L1" s="13"/>
      <c r="M1" s="13"/>
      <c r="N1" s="13"/>
      <c r="O1" s="13"/>
      <c r="P1" s="13"/>
      <c r="Q1" s="13"/>
      <c r="R1" s="13"/>
      <c r="S1" s="13"/>
      <c r="T1" s="12"/>
    </row>
    <row r="2" spans="1:20" ht="13.2" x14ac:dyDescent="0.25">
      <c r="A2" s="12"/>
      <c r="B2" s="12"/>
      <c r="C2" s="13"/>
      <c r="D2" s="13"/>
      <c r="E2" s="13"/>
      <c r="F2" s="13"/>
      <c r="G2" s="13"/>
      <c r="H2" s="13"/>
      <c r="I2" s="13"/>
      <c r="J2" s="13"/>
      <c r="K2" s="13"/>
      <c r="L2" s="13"/>
      <c r="M2" s="13"/>
      <c r="N2" s="13"/>
      <c r="O2" s="13"/>
      <c r="P2" s="13"/>
      <c r="Q2" s="13"/>
      <c r="R2" s="13"/>
      <c r="S2" s="13"/>
      <c r="T2" s="12"/>
    </row>
    <row r="3" spans="1:20" ht="34.200000000000003" x14ac:dyDescent="0.25">
      <c r="A3" s="14" t="s">
        <v>1</v>
      </c>
      <c r="B3" s="14" t="s">
        <v>2</v>
      </c>
      <c r="C3" s="14" t="s">
        <v>3</v>
      </c>
      <c r="D3" s="14" t="s">
        <v>4</v>
      </c>
      <c r="E3" s="14" t="s">
        <v>5</v>
      </c>
      <c r="F3" s="14" t="s">
        <v>6</v>
      </c>
      <c r="G3" s="14" t="s">
        <v>7</v>
      </c>
      <c r="H3" s="14" t="s">
        <v>8</v>
      </c>
      <c r="I3" s="14" t="s">
        <v>9</v>
      </c>
      <c r="J3" s="14" t="s">
        <v>10</v>
      </c>
      <c r="K3" s="14" t="s">
        <v>11</v>
      </c>
      <c r="L3" s="14" t="s">
        <v>12</v>
      </c>
      <c r="M3" s="14" t="s">
        <v>13</v>
      </c>
      <c r="N3" s="14" t="s">
        <v>14</v>
      </c>
      <c r="O3" s="14" t="s">
        <v>15</v>
      </c>
      <c r="P3" s="14" t="s">
        <v>16</v>
      </c>
      <c r="Q3" s="14" t="s">
        <v>17</v>
      </c>
      <c r="R3" s="14" t="s">
        <v>18</v>
      </c>
      <c r="S3" s="14" t="s">
        <v>19</v>
      </c>
      <c r="T3" s="14" t="s">
        <v>20</v>
      </c>
    </row>
    <row r="4" spans="1:20" ht="34.200000000000003" x14ac:dyDescent="0.25">
      <c r="A4" s="15"/>
      <c r="B4" s="16" t="s">
        <v>21</v>
      </c>
      <c r="C4" s="17" t="s">
        <v>22</v>
      </c>
      <c r="D4" s="18" t="s">
        <v>23</v>
      </c>
      <c r="E4" s="19">
        <v>4711</v>
      </c>
      <c r="F4" s="19">
        <v>629</v>
      </c>
      <c r="G4" s="19">
        <v>1998</v>
      </c>
      <c r="H4" s="19">
        <v>3048</v>
      </c>
      <c r="I4" s="19">
        <v>10313</v>
      </c>
      <c r="J4" s="20">
        <v>7001</v>
      </c>
      <c r="K4" s="20">
        <v>511</v>
      </c>
      <c r="L4" s="19">
        <v>17121</v>
      </c>
      <c r="M4" s="20">
        <v>1</v>
      </c>
      <c r="N4" s="20">
        <v>1761</v>
      </c>
      <c r="O4" s="20">
        <v>102</v>
      </c>
      <c r="P4" s="20"/>
      <c r="Q4" s="20"/>
      <c r="R4" s="20"/>
      <c r="S4" s="20">
        <v>11</v>
      </c>
      <c r="T4" s="21">
        <v>47207</v>
      </c>
    </row>
    <row r="5" spans="1:20" ht="22.8" x14ac:dyDescent="0.25">
      <c r="A5" s="15"/>
      <c r="B5" s="15"/>
      <c r="C5" s="17" t="s">
        <v>22</v>
      </c>
      <c r="D5" s="18" t="s">
        <v>24</v>
      </c>
      <c r="E5" s="19">
        <v>1588</v>
      </c>
      <c r="F5" s="20">
        <v>483</v>
      </c>
      <c r="G5" s="20">
        <v>977</v>
      </c>
      <c r="H5" s="20">
        <v>623</v>
      </c>
      <c r="I5" s="19">
        <v>1702</v>
      </c>
      <c r="J5" s="20">
        <v>763</v>
      </c>
      <c r="K5" s="20">
        <v>73</v>
      </c>
      <c r="L5" s="20">
        <v>3061</v>
      </c>
      <c r="M5" s="20"/>
      <c r="N5" s="20">
        <v>217</v>
      </c>
      <c r="O5" s="20">
        <v>60</v>
      </c>
      <c r="P5" s="20"/>
      <c r="Q5" s="20"/>
      <c r="R5" s="20"/>
      <c r="S5" s="20">
        <v>4</v>
      </c>
      <c r="T5" s="21">
        <v>9551</v>
      </c>
    </row>
    <row r="6" spans="1:20" ht="13.2" x14ac:dyDescent="0.25">
      <c r="A6" s="15"/>
      <c r="B6" s="15"/>
      <c r="C6" s="17" t="s">
        <v>22</v>
      </c>
      <c r="D6" s="18" t="s">
        <v>25</v>
      </c>
      <c r="E6" s="19">
        <v>295</v>
      </c>
      <c r="F6" s="19">
        <v>66</v>
      </c>
      <c r="G6" s="19">
        <v>101</v>
      </c>
      <c r="H6" s="19">
        <v>86</v>
      </c>
      <c r="I6" s="19">
        <v>199</v>
      </c>
      <c r="J6" s="19">
        <v>52</v>
      </c>
      <c r="K6" s="19">
        <v>9</v>
      </c>
      <c r="L6" s="19">
        <v>198</v>
      </c>
      <c r="M6" s="20"/>
      <c r="N6" s="19">
        <v>33</v>
      </c>
      <c r="O6" s="20">
        <v>11</v>
      </c>
      <c r="P6" s="20"/>
      <c r="Q6" s="20"/>
      <c r="R6" s="20"/>
      <c r="S6" s="20">
        <v>1</v>
      </c>
      <c r="T6" s="21">
        <v>1051</v>
      </c>
    </row>
    <row r="7" spans="1:20" ht="13.2" x14ac:dyDescent="0.25">
      <c r="A7" s="15"/>
      <c r="B7" s="15"/>
      <c r="C7" s="17" t="s">
        <v>22</v>
      </c>
      <c r="D7" s="18" t="s">
        <v>26</v>
      </c>
      <c r="E7" s="20">
        <v>6594</v>
      </c>
      <c r="F7" s="20">
        <v>1178</v>
      </c>
      <c r="G7" s="20">
        <v>3076</v>
      </c>
      <c r="H7" s="20">
        <v>3757</v>
      </c>
      <c r="I7" s="20">
        <v>12214</v>
      </c>
      <c r="J7" s="20">
        <v>7816</v>
      </c>
      <c r="K7" s="20">
        <v>593</v>
      </c>
      <c r="L7" s="20">
        <v>20380</v>
      </c>
      <c r="M7" s="20">
        <v>1</v>
      </c>
      <c r="N7" s="20">
        <v>2011</v>
      </c>
      <c r="O7" s="20">
        <v>173</v>
      </c>
      <c r="P7" s="20"/>
      <c r="Q7" s="20"/>
      <c r="R7" s="19"/>
      <c r="S7" s="20">
        <v>16</v>
      </c>
      <c r="T7" s="21">
        <v>57809</v>
      </c>
    </row>
    <row r="8" spans="1:20" ht="34.200000000000003" x14ac:dyDescent="0.25">
      <c r="A8" s="15"/>
      <c r="B8" s="15"/>
      <c r="C8" s="17" t="s">
        <v>27</v>
      </c>
      <c r="D8" s="18" t="s">
        <v>23</v>
      </c>
      <c r="E8" s="20">
        <v>85</v>
      </c>
      <c r="F8" s="20">
        <v>9</v>
      </c>
      <c r="G8" s="20">
        <v>35</v>
      </c>
      <c r="H8" s="20">
        <v>25</v>
      </c>
      <c r="I8" s="20">
        <v>1018</v>
      </c>
      <c r="J8" s="20">
        <v>524</v>
      </c>
      <c r="K8" s="20">
        <v>90</v>
      </c>
      <c r="L8" s="20">
        <v>1612</v>
      </c>
      <c r="M8" s="20"/>
      <c r="N8" s="20">
        <v>113</v>
      </c>
      <c r="O8" s="20">
        <v>3</v>
      </c>
      <c r="P8" s="20"/>
      <c r="Q8" s="20"/>
      <c r="R8" s="19"/>
      <c r="S8" s="20"/>
      <c r="T8" s="21">
        <v>3514</v>
      </c>
    </row>
    <row r="9" spans="1:20" ht="34.200000000000003" x14ac:dyDescent="0.25">
      <c r="A9" s="15"/>
      <c r="B9" s="15"/>
      <c r="C9" s="17" t="s">
        <v>27</v>
      </c>
      <c r="D9" s="18" t="s">
        <v>24</v>
      </c>
      <c r="E9" s="19">
        <v>135</v>
      </c>
      <c r="F9" s="19">
        <v>54</v>
      </c>
      <c r="G9" s="19">
        <v>61</v>
      </c>
      <c r="H9" s="19">
        <v>35</v>
      </c>
      <c r="I9" s="19">
        <v>218</v>
      </c>
      <c r="J9" s="19">
        <v>113</v>
      </c>
      <c r="K9" s="19">
        <v>19</v>
      </c>
      <c r="L9" s="19">
        <v>383</v>
      </c>
      <c r="M9" s="20"/>
      <c r="N9" s="19">
        <v>28</v>
      </c>
      <c r="O9" s="19">
        <v>2</v>
      </c>
      <c r="P9" s="20"/>
      <c r="Q9" s="20"/>
      <c r="R9" s="20"/>
      <c r="S9" s="20"/>
      <c r="T9" s="21">
        <v>1048</v>
      </c>
    </row>
    <row r="10" spans="1:20" ht="34.200000000000003" x14ac:dyDescent="0.25">
      <c r="A10" s="15"/>
      <c r="B10" s="15"/>
      <c r="C10" s="17" t="s">
        <v>27</v>
      </c>
      <c r="D10" s="18" t="s">
        <v>25</v>
      </c>
      <c r="E10" s="19">
        <v>17</v>
      </c>
      <c r="F10" s="19">
        <v>3</v>
      </c>
      <c r="G10" s="19">
        <v>10</v>
      </c>
      <c r="H10" s="19">
        <v>10</v>
      </c>
      <c r="I10" s="19">
        <v>25</v>
      </c>
      <c r="J10" s="19">
        <v>5</v>
      </c>
      <c r="K10" s="19"/>
      <c r="L10" s="19">
        <v>5</v>
      </c>
      <c r="M10" s="19"/>
      <c r="N10" s="19">
        <v>1</v>
      </c>
      <c r="O10" s="19"/>
      <c r="P10" s="20"/>
      <c r="Q10" s="20"/>
      <c r="R10" s="20"/>
      <c r="S10" s="20"/>
      <c r="T10" s="21">
        <v>76</v>
      </c>
    </row>
    <row r="11" spans="1:20" ht="34.200000000000003" x14ac:dyDescent="0.25">
      <c r="A11" s="15"/>
      <c r="B11" s="15"/>
      <c r="C11" s="17" t="s">
        <v>27</v>
      </c>
      <c r="D11" s="18" t="s">
        <v>26</v>
      </c>
      <c r="E11" s="19">
        <v>237</v>
      </c>
      <c r="F11" s="19">
        <v>66</v>
      </c>
      <c r="G11" s="19">
        <v>106</v>
      </c>
      <c r="H11" s="19">
        <v>70</v>
      </c>
      <c r="I11" s="19">
        <v>1261</v>
      </c>
      <c r="J11" s="19">
        <v>642</v>
      </c>
      <c r="K11" s="19">
        <v>109</v>
      </c>
      <c r="L11" s="19">
        <v>2000</v>
      </c>
      <c r="M11" s="20"/>
      <c r="N11" s="19">
        <v>142</v>
      </c>
      <c r="O11" s="19">
        <v>5</v>
      </c>
      <c r="P11" s="19"/>
      <c r="Q11" s="20"/>
      <c r="R11" s="20"/>
      <c r="S11" s="20"/>
      <c r="T11" s="21">
        <v>4638</v>
      </c>
    </row>
    <row r="12" spans="1:20" ht="22.8" x14ac:dyDescent="0.25">
      <c r="A12" s="15"/>
      <c r="B12" s="15"/>
      <c r="C12" s="17" t="s">
        <v>28</v>
      </c>
      <c r="D12" s="18" t="s">
        <v>23</v>
      </c>
      <c r="E12" s="19">
        <v>4</v>
      </c>
      <c r="F12" s="19">
        <v>1</v>
      </c>
      <c r="G12" s="19"/>
      <c r="H12" s="19">
        <v>5</v>
      </c>
      <c r="I12" s="19">
        <v>93</v>
      </c>
      <c r="J12" s="19">
        <v>102</v>
      </c>
      <c r="K12" s="19">
        <v>9</v>
      </c>
      <c r="L12" s="19">
        <v>75</v>
      </c>
      <c r="M12" s="19"/>
      <c r="N12" s="19">
        <v>31</v>
      </c>
      <c r="O12" s="19"/>
      <c r="P12" s="19"/>
      <c r="Q12" s="20"/>
      <c r="R12" s="20"/>
      <c r="S12" s="20"/>
      <c r="T12" s="21">
        <v>320</v>
      </c>
    </row>
    <row r="13" spans="1:20" ht="22.8" x14ac:dyDescent="0.25">
      <c r="A13" s="15"/>
      <c r="B13" s="15"/>
      <c r="C13" s="17" t="s">
        <v>28</v>
      </c>
      <c r="D13" s="18" t="s">
        <v>24</v>
      </c>
      <c r="E13" s="20">
        <v>2</v>
      </c>
      <c r="F13" s="20">
        <v>4</v>
      </c>
      <c r="G13" s="20">
        <v>5</v>
      </c>
      <c r="H13" s="20">
        <v>3</v>
      </c>
      <c r="I13" s="19">
        <v>17</v>
      </c>
      <c r="J13" s="19"/>
      <c r="K13" s="20"/>
      <c r="L13" s="19">
        <v>1</v>
      </c>
      <c r="M13" s="20"/>
      <c r="N13" s="19"/>
      <c r="O13" s="19"/>
      <c r="P13" s="20"/>
      <c r="Q13" s="20"/>
      <c r="R13" s="20"/>
      <c r="S13" s="20"/>
      <c r="T13" s="21">
        <v>32</v>
      </c>
    </row>
    <row r="14" spans="1:20" ht="22.8" x14ac:dyDescent="0.25">
      <c r="A14" s="15"/>
      <c r="B14" s="15"/>
      <c r="C14" s="17" t="s">
        <v>28</v>
      </c>
      <c r="D14" s="18" t="s">
        <v>25</v>
      </c>
      <c r="E14" s="20">
        <v>1</v>
      </c>
      <c r="F14" s="20"/>
      <c r="G14" s="20"/>
      <c r="H14" s="20"/>
      <c r="I14" s="19">
        <v>3</v>
      </c>
      <c r="J14" s="19"/>
      <c r="K14" s="19"/>
      <c r="L14" s="19"/>
      <c r="M14" s="20"/>
      <c r="N14" s="19"/>
      <c r="O14" s="19"/>
      <c r="P14" s="20"/>
      <c r="Q14" s="20"/>
      <c r="R14" s="20"/>
      <c r="S14" s="20"/>
      <c r="T14" s="21">
        <v>4</v>
      </c>
    </row>
    <row r="15" spans="1:20" ht="22.8" x14ac:dyDescent="0.25">
      <c r="A15" s="15"/>
      <c r="B15" s="15"/>
      <c r="C15" s="17" t="s">
        <v>28</v>
      </c>
      <c r="D15" s="18" t="s">
        <v>26</v>
      </c>
      <c r="E15" s="20">
        <v>7</v>
      </c>
      <c r="F15" s="20">
        <v>5</v>
      </c>
      <c r="G15" s="20">
        <v>5</v>
      </c>
      <c r="H15" s="20">
        <v>8</v>
      </c>
      <c r="I15" s="19">
        <v>113</v>
      </c>
      <c r="J15" s="19">
        <v>102</v>
      </c>
      <c r="K15" s="20">
        <v>9</v>
      </c>
      <c r="L15" s="19">
        <v>76</v>
      </c>
      <c r="M15" s="20"/>
      <c r="N15" s="19">
        <v>31</v>
      </c>
      <c r="O15" s="20"/>
      <c r="P15" s="20"/>
      <c r="Q15" s="20"/>
      <c r="R15" s="20"/>
      <c r="S15" s="20"/>
      <c r="T15" s="21">
        <v>356</v>
      </c>
    </row>
    <row r="16" spans="1:20" ht="22.8" x14ac:dyDescent="0.25">
      <c r="A16" s="15"/>
      <c r="B16" s="15"/>
      <c r="C16" s="17" t="s">
        <v>29</v>
      </c>
      <c r="D16" s="22" t="s">
        <v>18</v>
      </c>
      <c r="E16" s="23"/>
      <c r="F16" s="20"/>
      <c r="G16" s="20"/>
      <c r="H16" s="20"/>
      <c r="I16" s="19"/>
      <c r="J16" s="19"/>
      <c r="K16" s="19"/>
      <c r="L16" s="19"/>
      <c r="M16" s="20"/>
      <c r="N16" s="19"/>
      <c r="O16" s="19"/>
      <c r="P16" s="20"/>
      <c r="Q16" s="20"/>
      <c r="R16" s="20">
        <v>652</v>
      </c>
      <c r="S16" s="20"/>
      <c r="T16" s="21">
        <v>652</v>
      </c>
    </row>
    <row r="17" spans="1:20" ht="13.2" x14ac:dyDescent="0.25">
      <c r="A17" s="15"/>
      <c r="B17" s="15"/>
      <c r="C17" s="17" t="s">
        <v>29</v>
      </c>
      <c r="D17" s="18" t="s">
        <v>26</v>
      </c>
      <c r="E17" s="20"/>
      <c r="F17" s="20"/>
      <c r="G17" s="20"/>
      <c r="H17" s="20"/>
      <c r="I17" s="20"/>
      <c r="J17" s="19"/>
      <c r="K17" s="19"/>
      <c r="L17" s="19"/>
      <c r="M17" s="20"/>
      <c r="N17" s="19"/>
      <c r="O17" s="20"/>
      <c r="P17" s="20"/>
      <c r="Q17" s="20"/>
      <c r="R17" s="20">
        <v>652</v>
      </c>
      <c r="S17" s="20"/>
      <c r="T17" s="21">
        <v>652</v>
      </c>
    </row>
    <row r="18" spans="1:20" ht="13.2" x14ac:dyDescent="0.25">
      <c r="A18" s="15"/>
      <c r="B18" s="15"/>
      <c r="C18" s="17" t="s">
        <v>30</v>
      </c>
      <c r="D18" s="18" t="s">
        <v>23</v>
      </c>
      <c r="E18" s="20">
        <v>84</v>
      </c>
      <c r="F18" s="20">
        <v>4</v>
      </c>
      <c r="G18" s="20">
        <v>3</v>
      </c>
      <c r="H18" s="20">
        <v>355</v>
      </c>
      <c r="I18" s="20">
        <v>1906</v>
      </c>
      <c r="J18" s="20">
        <v>1605</v>
      </c>
      <c r="K18" s="19">
        <v>279</v>
      </c>
      <c r="L18" s="19">
        <v>988</v>
      </c>
      <c r="M18" s="20"/>
      <c r="N18" s="19">
        <v>309</v>
      </c>
      <c r="O18" s="20">
        <v>1</v>
      </c>
      <c r="P18" s="20"/>
      <c r="Q18" s="20"/>
      <c r="R18" s="20"/>
      <c r="S18" s="20"/>
      <c r="T18" s="21">
        <v>5534</v>
      </c>
    </row>
    <row r="19" spans="1:20" ht="22.8" x14ac:dyDescent="0.25">
      <c r="A19" s="15"/>
      <c r="B19" s="15"/>
      <c r="C19" s="17" t="s">
        <v>30</v>
      </c>
      <c r="D19" s="18" t="s">
        <v>24</v>
      </c>
      <c r="E19" s="20">
        <v>446</v>
      </c>
      <c r="F19" s="20">
        <v>74</v>
      </c>
      <c r="G19" s="20">
        <v>362</v>
      </c>
      <c r="H19" s="20">
        <v>1533</v>
      </c>
      <c r="I19" s="20">
        <v>3889</v>
      </c>
      <c r="J19" s="19">
        <v>5226</v>
      </c>
      <c r="K19" s="19">
        <v>1563</v>
      </c>
      <c r="L19" s="19">
        <v>10263</v>
      </c>
      <c r="M19" s="20">
        <v>1</v>
      </c>
      <c r="N19" s="19">
        <v>3214</v>
      </c>
      <c r="O19" s="20">
        <v>120</v>
      </c>
      <c r="P19" s="20"/>
      <c r="Q19" s="20"/>
      <c r="R19" s="20"/>
      <c r="S19" s="20"/>
      <c r="T19" s="21">
        <v>26691</v>
      </c>
    </row>
    <row r="20" spans="1:20" ht="13.2" x14ac:dyDescent="0.25">
      <c r="A20" s="15"/>
      <c r="B20" s="15"/>
      <c r="C20" s="17" t="s">
        <v>30</v>
      </c>
      <c r="D20" s="18" t="s">
        <v>25</v>
      </c>
      <c r="E20" s="20">
        <v>300</v>
      </c>
      <c r="F20" s="20">
        <v>65</v>
      </c>
      <c r="G20" s="20">
        <v>353</v>
      </c>
      <c r="H20" s="20">
        <v>629</v>
      </c>
      <c r="I20" s="20">
        <v>661</v>
      </c>
      <c r="J20" s="19">
        <v>460</v>
      </c>
      <c r="K20" s="19">
        <v>157</v>
      </c>
      <c r="L20" s="19">
        <v>755</v>
      </c>
      <c r="M20" s="20"/>
      <c r="N20" s="19">
        <v>126</v>
      </c>
      <c r="O20" s="20">
        <v>17</v>
      </c>
      <c r="P20" s="20">
        <v>1</v>
      </c>
      <c r="Q20" s="20"/>
      <c r="R20" s="20"/>
      <c r="S20" s="20"/>
      <c r="T20" s="21">
        <v>3524</v>
      </c>
    </row>
    <row r="21" spans="1:20" ht="13.2" x14ac:dyDescent="0.25">
      <c r="A21" s="15"/>
      <c r="B21" s="15"/>
      <c r="C21" s="17" t="s">
        <v>30</v>
      </c>
      <c r="D21" s="18" t="s">
        <v>26</v>
      </c>
      <c r="E21" s="20">
        <v>830</v>
      </c>
      <c r="F21" s="20">
        <v>143</v>
      </c>
      <c r="G21" s="20">
        <v>718</v>
      </c>
      <c r="H21" s="20">
        <v>2517</v>
      </c>
      <c r="I21" s="19">
        <v>6456</v>
      </c>
      <c r="J21" s="19">
        <v>7291</v>
      </c>
      <c r="K21" s="20">
        <v>1999</v>
      </c>
      <c r="L21" s="19">
        <v>12006</v>
      </c>
      <c r="M21" s="20">
        <v>1</v>
      </c>
      <c r="N21" s="20">
        <v>3649</v>
      </c>
      <c r="O21" s="20">
        <v>138</v>
      </c>
      <c r="P21" s="20">
        <v>1</v>
      </c>
      <c r="Q21" s="20"/>
      <c r="R21" s="20"/>
      <c r="S21" s="20"/>
      <c r="T21" s="21">
        <v>35749</v>
      </c>
    </row>
    <row r="22" spans="1:20" ht="22.8" x14ac:dyDescent="0.25">
      <c r="A22" s="15"/>
      <c r="B22" s="15"/>
      <c r="C22" s="17" t="s">
        <v>31</v>
      </c>
      <c r="D22" s="22" t="s">
        <v>23</v>
      </c>
      <c r="E22" s="23"/>
      <c r="F22" s="20"/>
      <c r="G22" s="20"/>
      <c r="H22" s="20"/>
      <c r="I22" s="19">
        <v>2</v>
      </c>
      <c r="J22" s="19">
        <v>15</v>
      </c>
      <c r="K22" s="19"/>
      <c r="L22" s="19">
        <v>5782</v>
      </c>
      <c r="M22" s="20"/>
      <c r="N22" s="19">
        <v>3</v>
      </c>
      <c r="O22" s="20">
        <v>52</v>
      </c>
      <c r="P22" s="20"/>
      <c r="Q22" s="20"/>
      <c r="R22" s="20"/>
      <c r="S22" s="20"/>
      <c r="T22" s="21">
        <v>5854</v>
      </c>
    </row>
    <row r="23" spans="1:20" ht="22.8" x14ac:dyDescent="0.25">
      <c r="A23" s="15"/>
      <c r="B23" s="15"/>
      <c r="C23" s="17" t="s">
        <v>31</v>
      </c>
      <c r="D23" s="22" t="s">
        <v>24</v>
      </c>
      <c r="E23" s="24"/>
      <c r="F23" s="20"/>
      <c r="G23" s="20"/>
      <c r="H23" s="20"/>
      <c r="I23" s="20">
        <v>5</v>
      </c>
      <c r="J23" s="20">
        <v>31</v>
      </c>
      <c r="K23" s="20">
        <v>16</v>
      </c>
      <c r="L23" s="20">
        <v>3095</v>
      </c>
      <c r="M23" s="20"/>
      <c r="N23" s="20">
        <v>103</v>
      </c>
      <c r="O23" s="20">
        <v>5</v>
      </c>
      <c r="P23" s="20"/>
      <c r="Q23" s="20"/>
      <c r="R23" s="20"/>
      <c r="S23" s="20"/>
      <c r="T23" s="21">
        <v>3255</v>
      </c>
    </row>
    <row r="24" spans="1:20" ht="22.8" x14ac:dyDescent="0.25">
      <c r="A24" s="15"/>
      <c r="B24" s="15"/>
      <c r="C24" s="17" t="s">
        <v>31</v>
      </c>
      <c r="D24" s="18" t="s">
        <v>25</v>
      </c>
      <c r="E24" s="19"/>
      <c r="F24" s="20"/>
      <c r="G24" s="20"/>
      <c r="H24" s="20"/>
      <c r="I24" s="20"/>
      <c r="J24" s="20">
        <v>3</v>
      </c>
      <c r="K24" s="20"/>
      <c r="L24" s="20">
        <v>227</v>
      </c>
      <c r="M24" s="20"/>
      <c r="N24" s="20">
        <v>14</v>
      </c>
      <c r="O24" s="20"/>
      <c r="P24" s="20"/>
      <c r="Q24" s="20"/>
      <c r="R24" s="20"/>
      <c r="S24" s="20"/>
      <c r="T24" s="21">
        <v>244</v>
      </c>
    </row>
    <row r="25" spans="1:20" ht="22.8" x14ac:dyDescent="0.25">
      <c r="A25" s="15"/>
      <c r="B25" s="15"/>
      <c r="C25" s="17" t="s">
        <v>31</v>
      </c>
      <c r="D25" s="18" t="s">
        <v>26</v>
      </c>
      <c r="E25" s="20"/>
      <c r="F25" s="20"/>
      <c r="G25" s="20"/>
      <c r="H25" s="20"/>
      <c r="I25" s="20">
        <v>7</v>
      </c>
      <c r="J25" s="20">
        <v>49</v>
      </c>
      <c r="K25" s="20">
        <v>16</v>
      </c>
      <c r="L25" s="20">
        <v>9104</v>
      </c>
      <c r="M25" s="20"/>
      <c r="N25" s="19">
        <v>120</v>
      </c>
      <c r="O25" s="20">
        <v>57</v>
      </c>
      <c r="P25" s="20"/>
      <c r="Q25" s="20"/>
      <c r="R25" s="20"/>
      <c r="S25" s="20"/>
      <c r="T25" s="21">
        <v>9353</v>
      </c>
    </row>
    <row r="26" spans="1:20" ht="45.6" x14ac:dyDescent="0.25">
      <c r="A26" s="15"/>
      <c r="B26" s="15"/>
      <c r="C26" s="17" t="s">
        <v>32</v>
      </c>
      <c r="D26" s="22" t="s">
        <v>24</v>
      </c>
      <c r="E26" s="23"/>
      <c r="F26" s="20"/>
      <c r="G26" s="20"/>
      <c r="H26" s="20"/>
      <c r="I26" s="20"/>
      <c r="J26" s="20">
        <v>1</v>
      </c>
      <c r="K26" s="20"/>
      <c r="L26" s="20">
        <v>2</v>
      </c>
      <c r="M26" s="20"/>
      <c r="N26" s="19"/>
      <c r="O26" s="20"/>
      <c r="P26" s="20"/>
      <c r="Q26" s="20"/>
      <c r="R26" s="20"/>
      <c r="S26" s="20"/>
      <c r="T26" s="21">
        <v>3</v>
      </c>
    </row>
    <row r="27" spans="1:20" ht="45.6" x14ac:dyDescent="0.25">
      <c r="A27" s="15"/>
      <c r="B27" s="15"/>
      <c r="C27" s="17" t="s">
        <v>32</v>
      </c>
      <c r="D27" s="25" t="s">
        <v>26</v>
      </c>
      <c r="E27" s="19"/>
      <c r="F27" s="19"/>
      <c r="G27" s="19"/>
      <c r="H27" s="19"/>
      <c r="I27" s="19"/>
      <c r="J27" s="19">
        <v>1</v>
      </c>
      <c r="K27" s="19"/>
      <c r="L27" s="19">
        <v>2</v>
      </c>
      <c r="M27" s="19"/>
      <c r="N27" s="19"/>
      <c r="O27" s="19"/>
      <c r="P27" s="19"/>
      <c r="Q27" s="20"/>
      <c r="R27" s="19"/>
      <c r="S27" s="19"/>
      <c r="T27" s="21">
        <v>3</v>
      </c>
    </row>
    <row r="28" spans="1:20" ht="22.8" x14ac:dyDescent="0.25">
      <c r="A28" s="15"/>
      <c r="B28" s="15"/>
      <c r="C28" s="17" t="s">
        <v>33</v>
      </c>
      <c r="D28" s="22" t="s">
        <v>24</v>
      </c>
      <c r="E28" s="24"/>
      <c r="F28" s="19"/>
      <c r="G28" s="19"/>
      <c r="H28" s="19"/>
      <c r="I28" s="19">
        <v>1</v>
      </c>
      <c r="J28" s="19"/>
      <c r="K28" s="19">
        <v>3</v>
      </c>
      <c r="L28" s="19">
        <v>626</v>
      </c>
      <c r="M28" s="20"/>
      <c r="N28" s="19"/>
      <c r="O28" s="19"/>
      <c r="P28" s="20"/>
      <c r="Q28" s="20"/>
      <c r="R28" s="20"/>
      <c r="S28" s="19"/>
      <c r="T28" s="21">
        <v>630</v>
      </c>
    </row>
    <row r="29" spans="1:20" ht="22.8" x14ac:dyDescent="0.25">
      <c r="A29" s="15"/>
      <c r="B29" s="15"/>
      <c r="C29" s="17" t="s">
        <v>33</v>
      </c>
      <c r="D29" s="18" t="s">
        <v>25</v>
      </c>
      <c r="E29" s="19"/>
      <c r="F29" s="19"/>
      <c r="G29" s="19"/>
      <c r="H29" s="19"/>
      <c r="I29" s="19"/>
      <c r="J29" s="19"/>
      <c r="K29" s="19">
        <v>1</v>
      </c>
      <c r="L29" s="19">
        <v>102</v>
      </c>
      <c r="M29" s="19"/>
      <c r="N29" s="19">
        <v>1</v>
      </c>
      <c r="O29" s="19"/>
      <c r="P29" s="20"/>
      <c r="Q29" s="20"/>
      <c r="R29" s="20"/>
      <c r="S29" s="19"/>
      <c r="T29" s="21">
        <v>104</v>
      </c>
    </row>
    <row r="30" spans="1:20" ht="22.8" x14ac:dyDescent="0.25">
      <c r="A30" s="15"/>
      <c r="B30" s="15"/>
      <c r="C30" s="17" t="s">
        <v>33</v>
      </c>
      <c r="D30" s="18" t="s">
        <v>26</v>
      </c>
      <c r="E30" s="19"/>
      <c r="F30" s="19"/>
      <c r="G30" s="19"/>
      <c r="H30" s="19"/>
      <c r="I30" s="19">
        <v>1</v>
      </c>
      <c r="J30" s="19"/>
      <c r="K30" s="19">
        <v>4</v>
      </c>
      <c r="L30" s="19">
        <v>728</v>
      </c>
      <c r="M30" s="20"/>
      <c r="N30" s="19">
        <v>1</v>
      </c>
      <c r="O30" s="19"/>
      <c r="P30" s="20"/>
      <c r="Q30" s="20"/>
      <c r="R30" s="20"/>
      <c r="S30" s="20"/>
      <c r="T30" s="21">
        <v>734</v>
      </c>
    </row>
    <row r="31" spans="1:20" ht="13.2" x14ac:dyDescent="0.25">
      <c r="A31" s="15"/>
      <c r="B31" s="15"/>
      <c r="C31" s="17" t="s">
        <v>34</v>
      </c>
      <c r="D31" s="22" t="s">
        <v>23</v>
      </c>
      <c r="E31" s="24"/>
      <c r="F31" s="19"/>
      <c r="G31" s="19"/>
      <c r="H31" s="19"/>
      <c r="I31" s="19"/>
      <c r="J31" s="19">
        <v>16</v>
      </c>
      <c r="K31" s="19">
        <v>3</v>
      </c>
      <c r="L31" s="19">
        <v>56</v>
      </c>
      <c r="M31" s="19">
        <v>1</v>
      </c>
      <c r="N31" s="19">
        <v>8</v>
      </c>
      <c r="O31" s="19"/>
      <c r="P31" s="20"/>
      <c r="Q31" s="20"/>
      <c r="R31" s="20"/>
      <c r="S31" s="19"/>
      <c r="T31" s="21">
        <v>84</v>
      </c>
    </row>
    <row r="32" spans="1:20" ht="22.8" x14ac:dyDescent="0.25">
      <c r="A32" s="15"/>
      <c r="B32" s="15"/>
      <c r="C32" s="17" t="s">
        <v>34</v>
      </c>
      <c r="D32" s="22" t="s">
        <v>24</v>
      </c>
      <c r="E32" s="24"/>
      <c r="F32" s="19"/>
      <c r="G32" s="19"/>
      <c r="H32" s="19"/>
      <c r="I32" s="19">
        <v>5</v>
      </c>
      <c r="J32" s="19">
        <v>1</v>
      </c>
      <c r="K32" s="19"/>
      <c r="L32" s="19">
        <v>41</v>
      </c>
      <c r="M32" s="20"/>
      <c r="N32" s="19"/>
      <c r="O32" s="19"/>
      <c r="P32" s="20"/>
      <c r="Q32" s="20"/>
      <c r="R32" s="20"/>
      <c r="S32" s="20"/>
      <c r="T32" s="21">
        <v>47</v>
      </c>
    </row>
    <row r="33" spans="1:20" ht="13.2" x14ac:dyDescent="0.25">
      <c r="A33" s="15"/>
      <c r="B33" s="15"/>
      <c r="C33" s="17" t="s">
        <v>34</v>
      </c>
      <c r="D33" s="18" t="s">
        <v>26</v>
      </c>
      <c r="E33" s="19"/>
      <c r="F33" s="19"/>
      <c r="G33" s="19"/>
      <c r="H33" s="19"/>
      <c r="I33" s="19">
        <v>5</v>
      </c>
      <c r="J33" s="19">
        <v>17</v>
      </c>
      <c r="K33" s="19">
        <v>3</v>
      </c>
      <c r="L33" s="19">
        <v>97</v>
      </c>
      <c r="M33" s="20">
        <v>1</v>
      </c>
      <c r="N33" s="19">
        <v>8</v>
      </c>
      <c r="O33" s="19"/>
      <c r="P33" s="20"/>
      <c r="Q33" s="20"/>
      <c r="R33" s="20"/>
      <c r="S33" s="20"/>
      <c r="T33" s="21">
        <v>131</v>
      </c>
    </row>
    <row r="34" spans="1:20" ht="13.2" x14ac:dyDescent="0.25">
      <c r="A34" s="15"/>
      <c r="B34" s="15"/>
      <c r="C34" s="17" t="s">
        <v>35</v>
      </c>
      <c r="D34" s="18" t="s">
        <v>23</v>
      </c>
      <c r="E34" s="19">
        <v>3</v>
      </c>
      <c r="F34" s="19"/>
      <c r="G34" s="19"/>
      <c r="H34" s="19"/>
      <c r="I34" s="19"/>
      <c r="J34" s="19"/>
      <c r="K34" s="20"/>
      <c r="L34" s="19"/>
      <c r="M34" s="20"/>
      <c r="N34" s="20"/>
      <c r="O34" s="20"/>
      <c r="P34" s="20"/>
      <c r="Q34" s="20"/>
      <c r="R34" s="20"/>
      <c r="S34" s="19"/>
      <c r="T34" s="21">
        <v>3</v>
      </c>
    </row>
    <row r="35" spans="1:20" ht="13.2" x14ac:dyDescent="0.25">
      <c r="A35" s="15"/>
      <c r="B35" s="15"/>
      <c r="C35" s="17" t="s">
        <v>35</v>
      </c>
      <c r="D35" s="18" t="s">
        <v>26</v>
      </c>
      <c r="E35" s="19">
        <v>3</v>
      </c>
      <c r="F35" s="19"/>
      <c r="G35" s="19"/>
      <c r="H35" s="19"/>
      <c r="I35" s="19"/>
      <c r="J35" s="19"/>
      <c r="K35" s="19"/>
      <c r="L35" s="19"/>
      <c r="M35" s="20"/>
      <c r="N35" s="19"/>
      <c r="O35" s="19"/>
      <c r="P35" s="20"/>
      <c r="Q35" s="20"/>
      <c r="R35" s="20"/>
      <c r="S35" s="19"/>
      <c r="T35" s="21">
        <v>3</v>
      </c>
    </row>
    <row r="36" spans="1:20" ht="22.8" x14ac:dyDescent="0.25">
      <c r="A36" s="15"/>
      <c r="B36" s="15"/>
      <c r="C36" s="17" t="s">
        <v>36</v>
      </c>
      <c r="D36" s="22" t="s">
        <v>19</v>
      </c>
      <c r="E36" s="24"/>
      <c r="F36" s="19"/>
      <c r="G36" s="19"/>
      <c r="H36" s="19"/>
      <c r="I36" s="19"/>
      <c r="J36" s="19"/>
      <c r="K36" s="19"/>
      <c r="L36" s="19"/>
      <c r="M36" s="20"/>
      <c r="N36" s="19">
        <v>1</v>
      </c>
      <c r="O36" s="20"/>
      <c r="P36" s="20"/>
      <c r="Q36" s="20"/>
      <c r="R36" s="20"/>
      <c r="S36" s="20"/>
      <c r="T36" s="21">
        <v>1</v>
      </c>
    </row>
    <row r="37" spans="1:20" ht="22.8" x14ac:dyDescent="0.25">
      <c r="A37" s="15"/>
      <c r="B37" s="15"/>
      <c r="C37" s="17" t="s">
        <v>36</v>
      </c>
      <c r="D37" s="18" t="s">
        <v>26</v>
      </c>
      <c r="E37" s="19"/>
      <c r="F37" s="20"/>
      <c r="G37" s="19"/>
      <c r="H37" s="19"/>
      <c r="I37" s="19"/>
      <c r="J37" s="20"/>
      <c r="K37" s="20"/>
      <c r="L37" s="20"/>
      <c r="M37" s="20"/>
      <c r="N37" s="19">
        <v>1</v>
      </c>
      <c r="O37" s="20"/>
      <c r="P37" s="20"/>
      <c r="Q37" s="20"/>
      <c r="R37" s="20"/>
      <c r="S37" s="20"/>
      <c r="T37" s="21">
        <v>1</v>
      </c>
    </row>
    <row r="38" spans="1:20" ht="13.2" x14ac:dyDescent="0.25">
      <c r="A38" s="15"/>
      <c r="B38" s="26"/>
      <c r="C38" s="27" t="s">
        <v>26</v>
      </c>
      <c r="D38" s="28"/>
      <c r="E38" s="20">
        <v>7671</v>
      </c>
      <c r="F38" s="20">
        <v>1392</v>
      </c>
      <c r="G38" s="19">
        <v>3905</v>
      </c>
      <c r="H38" s="20">
        <v>6352</v>
      </c>
      <c r="I38" s="19">
        <v>20057</v>
      </c>
      <c r="J38" s="20">
        <v>15918</v>
      </c>
      <c r="K38" s="20">
        <v>2733</v>
      </c>
      <c r="L38" s="20">
        <v>44393</v>
      </c>
      <c r="M38" s="20">
        <v>3</v>
      </c>
      <c r="N38" s="20">
        <v>5963</v>
      </c>
      <c r="O38" s="20">
        <v>373</v>
      </c>
      <c r="P38" s="20">
        <v>1</v>
      </c>
      <c r="Q38" s="20"/>
      <c r="R38" s="20">
        <v>652</v>
      </c>
      <c r="S38" s="20">
        <v>16</v>
      </c>
      <c r="T38" s="21">
        <v>109429</v>
      </c>
    </row>
    <row r="40" spans="1:20" ht="13.05" customHeight="1" x14ac:dyDescent="0.25">
      <c r="A40" s="29" t="s">
        <v>2</v>
      </c>
      <c r="B40" s="10" t="s">
        <v>37</v>
      </c>
      <c r="C40" s="10"/>
      <c r="D40" s="10"/>
      <c r="E40" s="10"/>
      <c r="F40" s="10"/>
      <c r="G40" s="10"/>
      <c r="H40" s="10"/>
      <c r="I40" s="10"/>
      <c r="J40" s="10"/>
      <c r="K40" s="10"/>
      <c r="L40" s="10"/>
      <c r="M40" s="10"/>
    </row>
    <row r="41" spans="1:20" ht="45.6" x14ac:dyDescent="0.25">
      <c r="A41" s="29" t="s">
        <v>3</v>
      </c>
      <c r="B41" s="30" t="s">
        <v>22</v>
      </c>
      <c r="C41" s="30" t="s">
        <v>27</v>
      </c>
      <c r="D41" s="30" t="s">
        <v>28</v>
      </c>
      <c r="E41" s="30" t="s">
        <v>29</v>
      </c>
      <c r="F41" s="30" t="s">
        <v>30</v>
      </c>
      <c r="G41" s="30" t="s">
        <v>31</v>
      </c>
      <c r="H41" s="30" t="s">
        <v>32</v>
      </c>
      <c r="I41" s="30" t="s">
        <v>33</v>
      </c>
      <c r="J41" s="30" t="s">
        <v>34</v>
      </c>
      <c r="K41" s="30" t="s">
        <v>35</v>
      </c>
      <c r="L41" s="30" t="s">
        <v>36</v>
      </c>
      <c r="M41" s="31" t="s">
        <v>26</v>
      </c>
    </row>
    <row r="42" spans="1:20" ht="13.2" x14ac:dyDescent="0.25">
      <c r="A42" s="29" t="s">
        <v>4</v>
      </c>
      <c r="B42" s="32"/>
      <c r="C42" s="32"/>
      <c r="D42" s="32"/>
      <c r="E42" s="32"/>
      <c r="F42" s="32"/>
      <c r="G42" s="32"/>
      <c r="H42" s="33"/>
      <c r="I42" s="32"/>
      <c r="J42" s="32"/>
      <c r="K42" s="32"/>
      <c r="L42" s="32"/>
      <c r="M42" s="34"/>
    </row>
    <row r="43" spans="1:20" ht="13.2" x14ac:dyDescent="0.25">
      <c r="A43" s="29" t="s">
        <v>5</v>
      </c>
      <c r="B43" s="35">
        <v>6594</v>
      </c>
      <c r="C43" s="36">
        <v>237</v>
      </c>
      <c r="D43" s="35">
        <v>7</v>
      </c>
      <c r="E43" s="35"/>
      <c r="F43" s="35">
        <v>830</v>
      </c>
      <c r="G43" s="35"/>
      <c r="H43" s="36"/>
      <c r="I43" s="36"/>
      <c r="J43" s="36"/>
      <c r="K43" s="36">
        <v>3</v>
      </c>
      <c r="L43" s="36"/>
      <c r="M43" s="35">
        <v>7671</v>
      </c>
    </row>
    <row r="44" spans="1:20" ht="13.2" x14ac:dyDescent="0.25">
      <c r="A44" s="29" t="s">
        <v>6</v>
      </c>
      <c r="B44" s="35">
        <v>1178</v>
      </c>
      <c r="C44" s="36">
        <v>66</v>
      </c>
      <c r="D44" s="35">
        <v>5</v>
      </c>
      <c r="E44" s="35"/>
      <c r="F44" s="35">
        <v>143</v>
      </c>
      <c r="G44" s="35"/>
      <c r="H44" s="36"/>
      <c r="I44" s="36"/>
      <c r="J44" s="36"/>
      <c r="K44" s="36"/>
      <c r="L44" s="35"/>
      <c r="M44" s="35">
        <v>1392</v>
      </c>
    </row>
    <row r="45" spans="1:20" ht="13.2" x14ac:dyDescent="0.25">
      <c r="A45" s="29" t="s">
        <v>7</v>
      </c>
      <c r="B45" s="35">
        <v>3076</v>
      </c>
      <c r="C45" s="36">
        <v>106</v>
      </c>
      <c r="D45" s="35">
        <v>5</v>
      </c>
      <c r="E45" s="35"/>
      <c r="F45" s="35">
        <v>718</v>
      </c>
      <c r="G45" s="35"/>
      <c r="H45" s="36"/>
      <c r="I45" s="36"/>
      <c r="J45" s="36"/>
      <c r="K45" s="36"/>
      <c r="L45" s="36"/>
      <c r="M45" s="36">
        <v>3905</v>
      </c>
    </row>
    <row r="46" spans="1:20" ht="13.2" x14ac:dyDescent="0.25">
      <c r="A46" s="29" t="s">
        <v>8</v>
      </c>
      <c r="B46" s="35">
        <v>3757</v>
      </c>
      <c r="C46" s="36">
        <v>70</v>
      </c>
      <c r="D46" s="35">
        <v>8</v>
      </c>
      <c r="E46" s="35"/>
      <c r="F46" s="35">
        <v>2517</v>
      </c>
      <c r="G46" s="35"/>
      <c r="H46" s="36"/>
      <c r="I46" s="36"/>
      <c r="J46" s="36"/>
      <c r="K46" s="36"/>
      <c r="L46" s="36"/>
      <c r="M46" s="35">
        <v>6352</v>
      </c>
    </row>
    <row r="47" spans="1:20" ht="13.2" x14ac:dyDescent="0.25">
      <c r="A47" s="29" t="s">
        <v>9</v>
      </c>
      <c r="B47" s="35">
        <v>12214</v>
      </c>
      <c r="C47" s="36">
        <v>1261</v>
      </c>
      <c r="D47" s="36">
        <v>113</v>
      </c>
      <c r="E47" s="35"/>
      <c r="F47" s="36">
        <v>6456</v>
      </c>
      <c r="G47" s="35">
        <v>7</v>
      </c>
      <c r="H47" s="36"/>
      <c r="I47" s="36">
        <v>1</v>
      </c>
      <c r="J47" s="36">
        <v>5</v>
      </c>
      <c r="K47" s="36"/>
      <c r="L47" s="36"/>
      <c r="M47" s="36">
        <v>20057</v>
      </c>
    </row>
    <row r="48" spans="1:20" ht="13.2" x14ac:dyDescent="0.25">
      <c r="A48" s="29" t="s">
        <v>10</v>
      </c>
      <c r="B48" s="35">
        <v>7816</v>
      </c>
      <c r="C48" s="36">
        <v>642</v>
      </c>
      <c r="D48" s="36">
        <v>102</v>
      </c>
      <c r="E48" s="36"/>
      <c r="F48" s="36">
        <v>7291</v>
      </c>
      <c r="G48" s="35">
        <v>49</v>
      </c>
      <c r="H48" s="36">
        <v>1</v>
      </c>
      <c r="I48" s="36"/>
      <c r="J48" s="36">
        <v>17</v>
      </c>
      <c r="K48" s="36"/>
      <c r="L48" s="35"/>
      <c r="M48" s="35">
        <v>15918</v>
      </c>
    </row>
    <row r="49" spans="1:13" ht="13.2" x14ac:dyDescent="0.25">
      <c r="A49" s="29" t="s">
        <v>11</v>
      </c>
      <c r="B49" s="35">
        <v>593</v>
      </c>
      <c r="C49" s="36">
        <v>109</v>
      </c>
      <c r="D49" s="35">
        <v>9</v>
      </c>
      <c r="E49" s="36"/>
      <c r="F49" s="35">
        <v>1999</v>
      </c>
      <c r="G49" s="35">
        <v>16</v>
      </c>
      <c r="H49" s="36"/>
      <c r="I49" s="36">
        <v>4</v>
      </c>
      <c r="J49" s="36">
        <v>3</v>
      </c>
      <c r="K49" s="36"/>
      <c r="L49" s="35"/>
      <c r="M49" s="35">
        <v>2733</v>
      </c>
    </row>
    <row r="50" spans="1:13" ht="13.2" x14ac:dyDescent="0.25">
      <c r="A50" s="29" t="s">
        <v>12</v>
      </c>
      <c r="B50" s="35">
        <v>20380</v>
      </c>
      <c r="C50" s="36">
        <v>2000</v>
      </c>
      <c r="D50" s="36">
        <v>76</v>
      </c>
      <c r="E50" s="36"/>
      <c r="F50" s="36">
        <v>12006</v>
      </c>
      <c r="G50" s="35">
        <v>9104</v>
      </c>
      <c r="H50" s="36">
        <v>2</v>
      </c>
      <c r="I50" s="36">
        <v>728</v>
      </c>
      <c r="J50" s="36">
        <v>97</v>
      </c>
      <c r="K50" s="36"/>
      <c r="L50" s="35"/>
      <c r="M50" s="35">
        <v>44393</v>
      </c>
    </row>
    <row r="51" spans="1:13" ht="13.2" x14ac:dyDescent="0.25">
      <c r="A51" s="29" t="s">
        <v>13</v>
      </c>
      <c r="B51" s="35">
        <v>1</v>
      </c>
      <c r="C51" s="35"/>
      <c r="D51" s="35"/>
      <c r="E51" s="35"/>
      <c r="F51" s="35">
        <v>1</v>
      </c>
      <c r="G51" s="35"/>
      <c r="H51" s="36"/>
      <c r="I51" s="35"/>
      <c r="J51" s="35">
        <v>1</v>
      </c>
      <c r="K51" s="35"/>
      <c r="L51" s="35"/>
      <c r="M51" s="35">
        <v>3</v>
      </c>
    </row>
    <row r="52" spans="1:13" ht="13.2" x14ac:dyDescent="0.25">
      <c r="A52" s="29" t="s">
        <v>14</v>
      </c>
      <c r="B52" s="35">
        <v>2011</v>
      </c>
      <c r="C52" s="36">
        <v>142</v>
      </c>
      <c r="D52" s="36">
        <v>31</v>
      </c>
      <c r="E52" s="36"/>
      <c r="F52" s="35">
        <v>3649</v>
      </c>
      <c r="G52" s="36">
        <v>120</v>
      </c>
      <c r="H52" s="36"/>
      <c r="I52" s="36">
        <v>1</v>
      </c>
      <c r="J52" s="36">
        <v>8</v>
      </c>
      <c r="K52" s="36"/>
      <c r="L52" s="36">
        <v>1</v>
      </c>
      <c r="M52" s="35">
        <v>5963</v>
      </c>
    </row>
    <row r="53" spans="1:13" ht="13.2" x14ac:dyDescent="0.25">
      <c r="A53" s="29" t="s">
        <v>15</v>
      </c>
      <c r="B53" s="35">
        <v>173</v>
      </c>
      <c r="C53" s="36">
        <v>5</v>
      </c>
      <c r="D53" s="35"/>
      <c r="E53" s="35"/>
      <c r="F53" s="35">
        <v>138</v>
      </c>
      <c r="G53" s="35">
        <v>57</v>
      </c>
      <c r="H53" s="36"/>
      <c r="I53" s="36"/>
      <c r="J53" s="36"/>
      <c r="K53" s="36"/>
      <c r="L53" s="35"/>
      <c r="M53" s="35">
        <v>373</v>
      </c>
    </row>
    <row r="54" spans="1:13" ht="13.2" x14ac:dyDescent="0.25">
      <c r="A54" s="29" t="s">
        <v>16</v>
      </c>
      <c r="B54" s="35"/>
      <c r="C54" s="36"/>
      <c r="D54" s="35"/>
      <c r="E54" s="35"/>
      <c r="F54" s="35">
        <v>1</v>
      </c>
      <c r="G54" s="35"/>
      <c r="H54" s="36"/>
      <c r="I54" s="35"/>
      <c r="J54" s="35"/>
      <c r="K54" s="35"/>
      <c r="L54" s="35"/>
      <c r="M54" s="35">
        <v>1</v>
      </c>
    </row>
    <row r="55" spans="1:13" ht="13.2" x14ac:dyDescent="0.25">
      <c r="A55" s="29" t="s">
        <v>17</v>
      </c>
      <c r="B55" s="35"/>
      <c r="C55" s="35"/>
      <c r="D55" s="35"/>
      <c r="E55" s="35"/>
      <c r="F55" s="35"/>
      <c r="G55" s="35"/>
      <c r="H55" s="35"/>
      <c r="I55" s="35"/>
      <c r="J55" s="35"/>
      <c r="K55" s="35"/>
      <c r="L55" s="35"/>
      <c r="M55" s="35"/>
    </row>
    <row r="56" spans="1:13" ht="34.200000000000003" x14ac:dyDescent="0.25">
      <c r="A56" s="29" t="s">
        <v>18</v>
      </c>
      <c r="B56" s="36"/>
      <c r="C56" s="35"/>
      <c r="D56" s="35"/>
      <c r="E56" s="35">
        <v>652</v>
      </c>
      <c r="F56" s="35"/>
      <c r="G56" s="35"/>
      <c r="H56" s="36"/>
      <c r="I56" s="35"/>
      <c r="J56" s="35"/>
      <c r="K56" s="35"/>
      <c r="L56" s="35"/>
      <c r="M56" s="35">
        <v>652</v>
      </c>
    </row>
    <row r="57" spans="1:13" ht="22.8" x14ac:dyDescent="0.25">
      <c r="A57" s="29" t="s">
        <v>19</v>
      </c>
      <c r="B57" s="35">
        <v>16</v>
      </c>
      <c r="C57" s="35"/>
      <c r="D57" s="35"/>
      <c r="E57" s="35"/>
      <c r="F57" s="35"/>
      <c r="G57" s="35"/>
      <c r="H57" s="36"/>
      <c r="I57" s="35"/>
      <c r="J57" s="35"/>
      <c r="K57" s="36"/>
      <c r="L57" s="35"/>
      <c r="M57" s="35">
        <v>16</v>
      </c>
    </row>
    <row r="58" spans="1:13" ht="13.2" x14ac:dyDescent="0.25">
      <c r="A58" s="29" t="s">
        <v>20</v>
      </c>
      <c r="B58" s="37">
        <v>57809</v>
      </c>
      <c r="C58" s="37">
        <v>4638</v>
      </c>
      <c r="D58" s="37">
        <v>356</v>
      </c>
      <c r="E58" s="37">
        <v>652</v>
      </c>
      <c r="F58" s="37">
        <v>35749</v>
      </c>
      <c r="G58" s="37">
        <v>9353</v>
      </c>
      <c r="H58" s="37">
        <v>3</v>
      </c>
      <c r="I58" s="37">
        <v>734</v>
      </c>
      <c r="J58" s="37">
        <v>131</v>
      </c>
      <c r="K58" s="37">
        <v>3</v>
      </c>
      <c r="L58" s="37">
        <v>1</v>
      </c>
      <c r="M58" s="37">
        <v>109429</v>
      </c>
    </row>
    <row r="60" spans="1:13" ht="13.05" customHeight="1" x14ac:dyDescent="0.25">
      <c r="A60" s="29" t="s">
        <v>2</v>
      </c>
      <c r="B60" s="10" t="s">
        <v>38</v>
      </c>
      <c r="C60" s="10"/>
      <c r="D60" s="10"/>
      <c r="E60" s="10"/>
      <c r="F60" s="10"/>
      <c r="G60" s="10"/>
      <c r="H60" s="10"/>
      <c r="I60" s="10"/>
      <c r="J60" s="10"/>
      <c r="K60" s="10"/>
      <c r="L60" s="10"/>
      <c r="M60" s="10"/>
    </row>
    <row r="61" spans="1:13" ht="45.6" x14ac:dyDescent="0.25">
      <c r="A61" s="29" t="s">
        <v>3</v>
      </c>
      <c r="B61" s="30" t="s">
        <v>22</v>
      </c>
      <c r="C61" s="30" t="s">
        <v>27</v>
      </c>
      <c r="D61" s="30" t="s">
        <v>28</v>
      </c>
      <c r="E61" s="30" t="s">
        <v>29</v>
      </c>
      <c r="F61" s="30" t="s">
        <v>30</v>
      </c>
      <c r="G61" s="30" t="s">
        <v>31</v>
      </c>
      <c r="H61" s="30" t="s">
        <v>32</v>
      </c>
      <c r="I61" s="30" t="s">
        <v>33</v>
      </c>
      <c r="J61" s="30" t="s">
        <v>34</v>
      </c>
      <c r="K61" s="30" t="s">
        <v>35</v>
      </c>
      <c r="L61" s="30" t="s">
        <v>36</v>
      </c>
      <c r="M61" s="31" t="s">
        <v>26</v>
      </c>
    </row>
    <row r="62" spans="1:13" ht="13.2" x14ac:dyDescent="0.25">
      <c r="A62" s="29" t="s">
        <v>4</v>
      </c>
      <c r="B62" s="38"/>
      <c r="C62" s="38"/>
      <c r="D62" s="38"/>
      <c r="E62" s="38"/>
      <c r="F62" s="38"/>
      <c r="G62" s="38"/>
      <c r="H62" s="38"/>
      <c r="I62" s="38"/>
      <c r="J62" s="38"/>
      <c r="K62" s="38"/>
      <c r="L62" s="38"/>
      <c r="M62" s="39"/>
    </row>
    <row r="63" spans="1:13" ht="13.2" x14ac:dyDescent="0.25">
      <c r="A63" s="29" t="s">
        <v>5</v>
      </c>
      <c r="B63" s="40">
        <f t="shared" ref="B63:M63" si="0">B43/$M$43</f>
        <v>0.85960109503324211</v>
      </c>
      <c r="C63" s="40">
        <f t="shared" si="0"/>
        <v>3.0895580758701604E-2</v>
      </c>
      <c r="D63" s="40">
        <f t="shared" si="0"/>
        <v>9.1252770173380268E-4</v>
      </c>
      <c r="E63" s="40">
        <f t="shared" si="0"/>
        <v>0</v>
      </c>
      <c r="F63" s="40">
        <f t="shared" si="0"/>
        <v>0.10819971320557946</v>
      </c>
      <c r="G63" s="40">
        <f t="shared" si="0"/>
        <v>0</v>
      </c>
      <c r="H63" s="40">
        <f t="shared" si="0"/>
        <v>0</v>
      </c>
      <c r="I63" s="40">
        <f t="shared" si="0"/>
        <v>0</v>
      </c>
      <c r="J63" s="40">
        <f t="shared" si="0"/>
        <v>0</v>
      </c>
      <c r="K63" s="40">
        <f t="shared" si="0"/>
        <v>3.9108330074305825E-4</v>
      </c>
      <c r="L63" s="40">
        <f t="shared" si="0"/>
        <v>0</v>
      </c>
      <c r="M63" s="40">
        <f t="shared" si="0"/>
        <v>1</v>
      </c>
    </row>
    <row r="64" spans="1:13" ht="13.2" x14ac:dyDescent="0.25">
      <c r="A64" s="29" t="s">
        <v>6</v>
      </c>
      <c r="B64" s="40">
        <f t="shared" ref="B64:M64" si="1">B44/$M$44</f>
        <v>0.84626436781609193</v>
      </c>
      <c r="C64" s="40">
        <f t="shared" si="1"/>
        <v>4.7413793103448273E-2</v>
      </c>
      <c r="D64" s="40">
        <f t="shared" si="1"/>
        <v>3.5919540229885057E-3</v>
      </c>
      <c r="E64" s="40">
        <f t="shared" si="1"/>
        <v>0</v>
      </c>
      <c r="F64" s="40">
        <f t="shared" si="1"/>
        <v>0.10272988505747127</v>
      </c>
      <c r="G64" s="40">
        <f t="shared" si="1"/>
        <v>0</v>
      </c>
      <c r="H64" s="40">
        <f t="shared" si="1"/>
        <v>0</v>
      </c>
      <c r="I64" s="40">
        <f t="shared" si="1"/>
        <v>0</v>
      </c>
      <c r="J64" s="40">
        <f t="shared" si="1"/>
        <v>0</v>
      </c>
      <c r="K64" s="40">
        <f t="shared" si="1"/>
        <v>0</v>
      </c>
      <c r="L64" s="40">
        <f t="shared" si="1"/>
        <v>0</v>
      </c>
      <c r="M64" s="40">
        <f t="shared" si="1"/>
        <v>1</v>
      </c>
    </row>
    <row r="65" spans="1:13" ht="13.2" x14ac:dyDescent="0.25">
      <c r="A65" s="29" t="s">
        <v>7</v>
      </c>
      <c r="B65" s="40">
        <f t="shared" ref="B65:M65" si="2">B45/$M$45</f>
        <v>0.78770806658130599</v>
      </c>
      <c r="C65" s="40">
        <f t="shared" si="2"/>
        <v>2.7144686299615878E-2</v>
      </c>
      <c r="D65" s="40">
        <f t="shared" si="2"/>
        <v>1.2804097311139564E-3</v>
      </c>
      <c r="E65" s="40">
        <f t="shared" si="2"/>
        <v>0</v>
      </c>
      <c r="F65" s="40">
        <f t="shared" si="2"/>
        <v>0.18386683738796414</v>
      </c>
      <c r="G65" s="40">
        <f t="shared" si="2"/>
        <v>0</v>
      </c>
      <c r="H65" s="40">
        <f t="shared" si="2"/>
        <v>0</v>
      </c>
      <c r="I65" s="40">
        <f t="shared" si="2"/>
        <v>0</v>
      </c>
      <c r="J65" s="40">
        <f t="shared" si="2"/>
        <v>0</v>
      </c>
      <c r="K65" s="40">
        <f t="shared" si="2"/>
        <v>0</v>
      </c>
      <c r="L65" s="40">
        <f t="shared" si="2"/>
        <v>0</v>
      </c>
      <c r="M65" s="40">
        <f t="shared" si="2"/>
        <v>1</v>
      </c>
    </row>
    <row r="66" spans="1:13" ht="13.2" x14ac:dyDescent="0.25">
      <c r="A66" s="29" t="s">
        <v>8</v>
      </c>
      <c r="B66" s="40">
        <f t="shared" ref="B66:M66" si="3">B46/$M$46</f>
        <v>0.59146725440806047</v>
      </c>
      <c r="C66" s="40">
        <f t="shared" si="3"/>
        <v>1.1020151133501259E-2</v>
      </c>
      <c r="D66" s="40">
        <f t="shared" si="3"/>
        <v>1.2594458438287153E-3</v>
      </c>
      <c r="E66" s="40">
        <f t="shared" si="3"/>
        <v>0</v>
      </c>
      <c r="F66" s="40">
        <f t="shared" si="3"/>
        <v>0.39625314861460958</v>
      </c>
      <c r="G66" s="40">
        <f t="shared" si="3"/>
        <v>0</v>
      </c>
      <c r="H66" s="40">
        <f t="shared" si="3"/>
        <v>0</v>
      </c>
      <c r="I66" s="40">
        <f t="shared" si="3"/>
        <v>0</v>
      </c>
      <c r="J66" s="40">
        <f t="shared" si="3"/>
        <v>0</v>
      </c>
      <c r="K66" s="40">
        <f t="shared" si="3"/>
        <v>0</v>
      </c>
      <c r="L66" s="40">
        <f t="shared" si="3"/>
        <v>0</v>
      </c>
      <c r="M66" s="40">
        <f t="shared" si="3"/>
        <v>1</v>
      </c>
    </row>
    <row r="67" spans="1:13" ht="13.2" x14ac:dyDescent="0.25">
      <c r="A67" s="29" t="s">
        <v>9</v>
      </c>
      <c r="B67" s="40">
        <f t="shared" ref="B67:M67" si="4">B47/$M$47</f>
        <v>0.60896445131375576</v>
      </c>
      <c r="C67" s="40">
        <f t="shared" si="4"/>
        <v>6.2870818168220571E-2</v>
      </c>
      <c r="D67" s="40">
        <f t="shared" si="4"/>
        <v>5.6339432617041434E-3</v>
      </c>
      <c r="E67" s="40">
        <f t="shared" si="4"/>
        <v>0</v>
      </c>
      <c r="F67" s="40">
        <f t="shared" si="4"/>
        <v>0.32188263449169868</v>
      </c>
      <c r="G67" s="40">
        <f t="shared" si="4"/>
        <v>3.490053347958319E-4</v>
      </c>
      <c r="H67" s="40">
        <f t="shared" si="4"/>
        <v>0</v>
      </c>
      <c r="I67" s="40">
        <f t="shared" si="4"/>
        <v>4.9857904970833128E-5</v>
      </c>
      <c r="J67" s="40">
        <f t="shared" si="4"/>
        <v>2.4928952485416564E-4</v>
      </c>
      <c r="K67" s="40">
        <f t="shared" si="4"/>
        <v>0</v>
      </c>
      <c r="L67" s="40">
        <f t="shared" si="4"/>
        <v>0</v>
      </c>
      <c r="M67" s="40">
        <f t="shared" si="4"/>
        <v>1</v>
      </c>
    </row>
    <row r="68" spans="1:13" ht="13.2" x14ac:dyDescent="0.25">
      <c r="A68" s="29" t="s">
        <v>10</v>
      </c>
      <c r="B68" s="40">
        <f t="shared" ref="B68:M68" si="5">B48/$M$48</f>
        <v>0.49101645935419025</v>
      </c>
      <c r="C68" s="40">
        <f t="shared" si="5"/>
        <v>4.0331699962306823E-2</v>
      </c>
      <c r="D68" s="40">
        <f t="shared" si="5"/>
        <v>6.4078401809272521E-3</v>
      </c>
      <c r="E68" s="40">
        <f t="shared" si="5"/>
        <v>0</v>
      </c>
      <c r="F68" s="40">
        <f t="shared" si="5"/>
        <v>0.45803492901118231</v>
      </c>
      <c r="G68" s="40">
        <f t="shared" si="5"/>
        <v>3.0782761653474055E-3</v>
      </c>
      <c r="H68" s="40">
        <f t="shared" si="5"/>
        <v>6.2821962558110312E-5</v>
      </c>
      <c r="I68" s="40">
        <f t="shared" si="5"/>
        <v>0</v>
      </c>
      <c r="J68" s="40">
        <f t="shared" si="5"/>
        <v>1.0679733634878753E-3</v>
      </c>
      <c r="K68" s="40">
        <f t="shared" si="5"/>
        <v>0</v>
      </c>
      <c r="L68" s="40">
        <f t="shared" si="5"/>
        <v>0</v>
      </c>
      <c r="M68" s="40">
        <f t="shared" si="5"/>
        <v>1</v>
      </c>
    </row>
    <row r="69" spans="1:13" ht="13.2" x14ac:dyDescent="0.25">
      <c r="A69" s="29" t="s">
        <v>11</v>
      </c>
      <c r="B69" s="40">
        <f t="shared" ref="B69:M69" si="6">B49/$M$49</f>
        <v>0.21697768020490305</v>
      </c>
      <c r="C69" s="40">
        <f t="shared" si="6"/>
        <v>3.9882912550311012E-2</v>
      </c>
      <c r="D69" s="40">
        <f t="shared" si="6"/>
        <v>3.2930845225027441E-3</v>
      </c>
      <c r="E69" s="40">
        <f t="shared" si="6"/>
        <v>0</v>
      </c>
      <c r="F69" s="40">
        <f t="shared" si="6"/>
        <v>0.73143066227588727</v>
      </c>
      <c r="G69" s="40">
        <f t="shared" si="6"/>
        <v>5.8543724844493227E-3</v>
      </c>
      <c r="H69" s="40">
        <f t="shared" si="6"/>
        <v>0</v>
      </c>
      <c r="I69" s="40">
        <f t="shared" si="6"/>
        <v>1.4635931211123307E-3</v>
      </c>
      <c r="J69" s="40">
        <f t="shared" si="6"/>
        <v>1.0976948408342481E-3</v>
      </c>
      <c r="K69" s="40">
        <f t="shared" si="6"/>
        <v>0</v>
      </c>
      <c r="L69" s="40">
        <f t="shared" si="6"/>
        <v>0</v>
      </c>
      <c r="M69" s="40">
        <f t="shared" si="6"/>
        <v>1</v>
      </c>
    </row>
    <row r="70" spans="1:13" ht="13.2" x14ac:dyDescent="0.25">
      <c r="A70" s="29" t="s">
        <v>12</v>
      </c>
      <c r="B70" s="40">
        <f t="shared" ref="B70:M70" si="7">B50/$M$50</f>
        <v>0.45908138670511117</v>
      </c>
      <c r="C70" s="40">
        <f t="shared" si="7"/>
        <v>4.5052147861149278E-2</v>
      </c>
      <c r="D70" s="40">
        <f t="shared" si="7"/>
        <v>1.7119816187236726E-3</v>
      </c>
      <c r="E70" s="40">
        <f t="shared" si="7"/>
        <v>0</v>
      </c>
      <c r="F70" s="40">
        <f t="shared" si="7"/>
        <v>0.27044804361047914</v>
      </c>
      <c r="G70" s="40">
        <f t="shared" si="7"/>
        <v>0.20507737706395152</v>
      </c>
      <c r="H70" s="40">
        <f t="shared" si="7"/>
        <v>4.5052147861149284E-5</v>
      </c>
      <c r="I70" s="40">
        <f t="shared" si="7"/>
        <v>1.6398981821458339E-2</v>
      </c>
      <c r="J70" s="40">
        <f t="shared" si="7"/>
        <v>2.1850291712657401E-3</v>
      </c>
      <c r="K70" s="40">
        <f t="shared" si="7"/>
        <v>0</v>
      </c>
      <c r="L70" s="40">
        <f t="shared" si="7"/>
        <v>0</v>
      </c>
      <c r="M70" s="40">
        <f t="shared" si="7"/>
        <v>1</v>
      </c>
    </row>
    <row r="71" spans="1:13" ht="13.2" x14ac:dyDescent="0.25">
      <c r="A71" s="29" t="s">
        <v>13</v>
      </c>
      <c r="B71" s="40">
        <f t="shared" ref="B71:M71" si="8">B51/$M$51</f>
        <v>0.33333333333333331</v>
      </c>
      <c r="C71" s="40">
        <f t="shared" si="8"/>
        <v>0</v>
      </c>
      <c r="D71" s="40">
        <f t="shared" si="8"/>
        <v>0</v>
      </c>
      <c r="E71" s="40">
        <f t="shared" si="8"/>
        <v>0</v>
      </c>
      <c r="F71" s="40">
        <f t="shared" si="8"/>
        <v>0.33333333333333331</v>
      </c>
      <c r="G71" s="40">
        <f t="shared" si="8"/>
        <v>0</v>
      </c>
      <c r="H71" s="40">
        <f t="shared" si="8"/>
        <v>0</v>
      </c>
      <c r="I71" s="40">
        <f t="shared" si="8"/>
        <v>0</v>
      </c>
      <c r="J71" s="40">
        <f t="shared" si="8"/>
        <v>0.33333333333333331</v>
      </c>
      <c r="K71" s="40">
        <f t="shared" si="8"/>
        <v>0</v>
      </c>
      <c r="L71" s="40">
        <f t="shared" si="8"/>
        <v>0</v>
      </c>
      <c r="M71" s="40">
        <f t="shared" si="8"/>
        <v>1</v>
      </c>
    </row>
    <row r="72" spans="1:13" ht="13.2" x14ac:dyDescent="0.25">
      <c r="A72" s="29" t="s">
        <v>14</v>
      </c>
      <c r="B72" s="40">
        <f t="shared" ref="B72:M72" si="9">B52/$M$52</f>
        <v>0.33724635250712731</v>
      </c>
      <c r="C72" s="40">
        <f t="shared" si="9"/>
        <v>2.3813516686231762E-2</v>
      </c>
      <c r="D72" s="40">
        <f t="shared" si="9"/>
        <v>5.1987254737548214E-3</v>
      </c>
      <c r="E72" s="40">
        <f t="shared" si="9"/>
        <v>0</v>
      </c>
      <c r="F72" s="40">
        <f t="shared" si="9"/>
        <v>0.61194029850746268</v>
      </c>
      <c r="G72" s="40">
        <f t="shared" si="9"/>
        <v>2.0124098608083181E-2</v>
      </c>
      <c r="H72" s="40">
        <f t="shared" si="9"/>
        <v>0</v>
      </c>
      <c r="I72" s="40">
        <f t="shared" si="9"/>
        <v>1.6770082173402651E-4</v>
      </c>
      <c r="J72" s="40">
        <f t="shared" si="9"/>
        <v>1.3416065738722121E-3</v>
      </c>
      <c r="K72" s="40">
        <f t="shared" si="9"/>
        <v>0</v>
      </c>
      <c r="L72" s="40">
        <f t="shared" si="9"/>
        <v>1.6770082173402651E-4</v>
      </c>
      <c r="M72" s="40">
        <f t="shared" si="9"/>
        <v>1</v>
      </c>
    </row>
    <row r="73" spans="1:13" ht="13.2" x14ac:dyDescent="0.25">
      <c r="A73" s="29" t="s">
        <v>15</v>
      </c>
      <c r="B73" s="40">
        <f t="shared" ref="B73:M73" si="10">B53/$M$53</f>
        <v>0.46380697050938335</v>
      </c>
      <c r="C73" s="40">
        <f t="shared" si="10"/>
        <v>1.3404825737265416E-2</v>
      </c>
      <c r="D73" s="40">
        <f t="shared" si="10"/>
        <v>0</v>
      </c>
      <c r="E73" s="40">
        <f t="shared" si="10"/>
        <v>0</v>
      </c>
      <c r="F73" s="40">
        <f t="shared" si="10"/>
        <v>0.36997319034852549</v>
      </c>
      <c r="G73" s="40">
        <f t="shared" si="10"/>
        <v>0.15281501340482573</v>
      </c>
      <c r="H73" s="40">
        <f t="shared" si="10"/>
        <v>0</v>
      </c>
      <c r="I73" s="40">
        <f t="shared" si="10"/>
        <v>0</v>
      </c>
      <c r="J73" s="40">
        <f t="shared" si="10"/>
        <v>0</v>
      </c>
      <c r="K73" s="40">
        <f t="shared" si="10"/>
        <v>0</v>
      </c>
      <c r="L73" s="40">
        <f t="shared" si="10"/>
        <v>0</v>
      </c>
      <c r="M73" s="40">
        <f t="shared" si="10"/>
        <v>1</v>
      </c>
    </row>
    <row r="74" spans="1:13" ht="13.2" x14ac:dyDescent="0.25">
      <c r="A74" s="29" t="s">
        <v>16</v>
      </c>
      <c r="B74" s="40">
        <f t="shared" ref="B74:M74" si="11">B54/$M$54</f>
        <v>0</v>
      </c>
      <c r="C74" s="40">
        <f t="shared" si="11"/>
        <v>0</v>
      </c>
      <c r="D74" s="40">
        <f t="shared" si="11"/>
        <v>0</v>
      </c>
      <c r="E74" s="40">
        <f t="shared" si="11"/>
        <v>0</v>
      </c>
      <c r="F74" s="40">
        <f t="shared" si="11"/>
        <v>1</v>
      </c>
      <c r="G74" s="40">
        <f t="shared" si="11"/>
        <v>0</v>
      </c>
      <c r="H74" s="40">
        <f t="shared" si="11"/>
        <v>0</v>
      </c>
      <c r="I74" s="40">
        <f t="shared" si="11"/>
        <v>0</v>
      </c>
      <c r="J74" s="40">
        <f t="shared" si="11"/>
        <v>0</v>
      </c>
      <c r="K74" s="40">
        <f t="shared" si="11"/>
        <v>0</v>
      </c>
      <c r="L74" s="40">
        <f t="shared" si="11"/>
        <v>0</v>
      </c>
      <c r="M74" s="40">
        <f t="shared" si="11"/>
        <v>1</v>
      </c>
    </row>
    <row r="75" spans="1:13" ht="13.2" x14ac:dyDescent="0.25">
      <c r="A75" s="29" t="s">
        <v>17</v>
      </c>
      <c r="B75" s="40"/>
      <c r="C75" s="40"/>
      <c r="D75" s="40"/>
      <c r="E75" s="40"/>
      <c r="F75" s="40"/>
      <c r="G75" s="40"/>
      <c r="H75" s="40"/>
      <c r="I75" s="40"/>
      <c r="J75" s="40"/>
      <c r="K75" s="40"/>
      <c r="L75" s="40"/>
      <c r="M75" s="40"/>
    </row>
    <row r="76" spans="1:13" ht="34.200000000000003" x14ac:dyDescent="0.25">
      <c r="A76" s="29" t="s">
        <v>18</v>
      </c>
      <c r="B76" s="40">
        <f t="shared" ref="B76:M76" si="12">B56/$M$56</f>
        <v>0</v>
      </c>
      <c r="C76" s="40">
        <f t="shared" si="12"/>
        <v>0</v>
      </c>
      <c r="D76" s="40">
        <f t="shared" si="12"/>
        <v>0</v>
      </c>
      <c r="E76" s="40">
        <f t="shared" si="12"/>
        <v>1</v>
      </c>
      <c r="F76" s="40">
        <f t="shared" si="12"/>
        <v>0</v>
      </c>
      <c r="G76" s="40">
        <f t="shared" si="12"/>
        <v>0</v>
      </c>
      <c r="H76" s="40">
        <f t="shared" si="12"/>
        <v>0</v>
      </c>
      <c r="I76" s="40">
        <f t="shared" si="12"/>
        <v>0</v>
      </c>
      <c r="J76" s="40">
        <f t="shared" si="12"/>
        <v>0</v>
      </c>
      <c r="K76" s="40">
        <f t="shared" si="12"/>
        <v>0</v>
      </c>
      <c r="L76" s="40">
        <f t="shared" si="12"/>
        <v>0</v>
      </c>
      <c r="M76" s="40">
        <f t="shared" si="12"/>
        <v>1</v>
      </c>
    </row>
    <row r="77" spans="1:13" ht="22.8" x14ac:dyDescent="0.25">
      <c r="A77" s="29" t="s">
        <v>19</v>
      </c>
      <c r="B77" s="40">
        <f t="shared" ref="B77:M77" si="13">B57/$M$57</f>
        <v>1</v>
      </c>
      <c r="C77" s="40">
        <f t="shared" si="13"/>
        <v>0</v>
      </c>
      <c r="D77" s="40">
        <f t="shared" si="13"/>
        <v>0</v>
      </c>
      <c r="E77" s="40">
        <f t="shared" si="13"/>
        <v>0</v>
      </c>
      <c r="F77" s="40">
        <f t="shared" si="13"/>
        <v>0</v>
      </c>
      <c r="G77" s="40">
        <f t="shared" si="13"/>
        <v>0</v>
      </c>
      <c r="H77" s="40">
        <f t="shared" si="13"/>
        <v>0</v>
      </c>
      <c r="I77" s="40">
        <f t="shared" si="13"/>
        <v>0</v>
      </c>
      <c r="J77" s="40">
        <f t="shared" si="13"/>
        <v>0</v>
      </c>
      <c r="K77" s="40">
        <f t="shared" si="13"/>
        <v>0</v>
      </c>
      <c r="L77" s="40">
        <f t="shared" si="13"/>
        <v>0</v>
      </c>
      <c r="M77" s="40">
        <f t="shared" si="13"/>
        <v>1</v>
      </c>
    </row>
  </sheetData>
  <mergeCells count="2">
    <mergeCell ref="B40:M40"/>
    <mergeCell ref="B60:M60"/>
  </mergeCells>
  <pageMargins left="0.78749999999999998" right="0.78749999999999998" top="1.0249999999999999" bottom="1.0249999999999999" header="0.78749999999999998" footer="0.78749999999999998"/>
  <pageSetup paperSize="9" orientation="portrait" useFirstPageNumber="1" horizontalDpi="300" verticalDpi="300"/>
  <headerFooter>
    <oddHeader>&amp;C&amp;A</oddHeader>
    <oddFooter>&amp;CPagina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80" zoomScaleNormal="80" workbookViewId="0">
      <selection activeCell="C4" sqref="C4"/>
    </sheetView>
  </sheetViews>
  <sheetFormatPr defaultColWidth="11.5546875" defaultRowHeight="12.75" customHeight="1" x14ac:dyDescent="0.25"/>
  <cols>
    <col min="1" max="1" width="11.5546875" style="125"/>
  </cols>
  <sheetData>
    <row r="1" spans="1:7" ht="238.05" customHeight="1" x14ac:dyDescent="0.25">
      <c r="A1" s="4" t="s">
        <v>244</v>
      </c>
      <c r="B1" s="4"/>
      <c r="C1" s="4"/>
      <c r="D1" s="4"/>
      <c r="E1" s="4"/>
      <c r="F1" s="4"/>
    </row>
    <row r="3" spans="1:7" ht="13.2" x14ac:dyDescent="0.25">
      <c r="A3" s="137" t="s">
        <v>226</v>
      </c>
      <c r="B3" s="138">
        <f>'DATI di input'!B2*0.05</f>
        <v>598.6</v>
      </c>
      <c r="C3" s="125" t="s">
        <v>227</v>
      </c>
      <c r="D3" s="125"/>
    </row>
    <row r="4" spans="1:7" ht="13.2" x14ac:dyDescent="0.25">
      <c r="A4" s="137" t="s">
        <v>228</v>
      </c>
      <c r="B4" s="138">
        <v>4</v>
      </c>
      <c r="C4" s="125" t="s">
        <v>245</v>
      </c>
      <c r="D4" s="125"/>
    </row>
    <row r="5" spans="1:7" ht="13.2" x14ac:dyDescent="0.25">
      <c r="A5" s="137" t="s">
        <v>230</v>
      </c>
      <c r="B5" s="138">
        <v>250</v>
      </c>
      <c r="C5" s="125" t="s">
        <v>231</v>
      </c>
      <c r="D5" s="125"/>
    </row>
    <row r="6" spans="1:7" ht="15.6" x14ac:dyDescent="0.35">
      <c r="A6" s="137" t="s">
        <v>232</v>
      </c>
      <c r="B6" s="127">
        <f>((B3/1.2)*B4)*B5</f>
        <v>498833.33333333337</v>
      </c>
      <c r="C6" s="125"/>
      <c r="D6" s="125"/>
    </row>
    <row r="7" spans="1:7" ht="13.2" x14ac:dyDescent="0.25">
      <c r="A7" s="139"/>
      <c r="B7" s="125"/>
      <c r="C7" s="125"/>
      <c r="D7" s="125"/>
    </row>
    <row r="8" spans="1:7" ht="13.2" x14ac:dyDescent="0.25">
      <c r="A8" s="137" t="s">
        <v>226</v>
      </c>
      <c r="B8" s="127">
        <f>'DATI di input'!B3*0.02</f>
        <v>23.8</v>
      </c>
      <c r="C8" s="125" t="s">
        <v>246</v>
      </c>
      <c r="D8" s="125"/>
    </row>
    <row r="9" spans="1:7" ht="13.2" x14ac:dyDescent="0.25">
      <c r="A9" s="137" t="s">
        <v>228</v>
      </c>
      <c r="B9" s="138">
        <v>2</v>
      </c>
      <c r="C9" s="125" t="s">
        <v>245</v>
      </c>
      <c r="D9" s="125"/>
    </row>
    <row r="10" spans="1:7" ht="13.2" x14ac:dyDescent="0.25">
      <c r="A10" s="137" t="s">
        <v>230</v>
      </c>
      <c r="B10" s="138">
        <v>250</v>
      </c>
      <c r="C10" s="125" t="s">
        <v>231</v>
      </c>
      <c r="D10" s="125"/>
    </row>
    <row r="11" spans="1:7" ht="31.2" x14ac:dyDescent="0.35">
      <c r="A11" s="137" t="s">
        <v>234</v>
      </c>
      <c r="B11" s="127">
        <f>((B8/1.2)*B9)*B10</f>
        <v>9916.6666666666679</v>
      </c>
      <c r="C11" s="125"/>
      <c r="D11" s="125"/>
    </row>
    <row r="12" spans="1:7" ht="13.2" x14ac:dyDescent="0.25">
      <c r="B12" s="125"/>
      <c r="C12" s="125"/>
      <c r="D12" s="125"/>
    </row>
    <row r="13" spans="1:7" ht="13.2" x14ac:dyDescent="0.25">
      <c r="A13" s="111" t="s">
        <v>235</v>
      </c>
      <c r="B13" s="125"/>
      <c r="C13" s="125"/>
      <c r="D13" s="125"/>
    </row>
    <row r="14" spans="1:7" ht="31.2" x14ac:dyDescent="0.25">
      <c r="A14" s="140" t="s">
        <v>236</v>
      </c>
      <c r="B14" s="131" t="s">
        <v>49</v>
      </c>
      <c r="C14" s="131" t="s">
        <v>51</v>
      </c>
      <c r="D14" s="132" t="s">
        <v>53</v>
      </c>
      <c r="E14" s="132" t="s">
        <v>55</v>
      </c>
      <c r="F14" s="132" t="s">
        <v>57</v>
      </c>
      <c r="G14" s="132" t="s">
        <v>237</v>
      </c>
    </row>
    <row r="15" spans="1:7" ht="15.6" x14ac:dyDescent="0.3">
      <c r="A15" s="140"/>
      <c r="B15" s="133" t="s">
        <v>238</v>
      </c>
      <c r="C15" s="133" t="s">
        <v>238</v>
      </c>
      <c r="D15" s="132" t="s">
        <v>238</v>
      </c>
      <c r="E15" s="132" t="s">
        <v>239</v>
      </c>
      <c r="F15" s="132" t="s">
        <v>238</v>
      </c>
      <c r="G15" s="132" t="s">
        <v>239</v>
      </c>
    </row>
    <row r="16" spans="1:7" ht="13.2" x14ac:dyDescent="0.25">
      <c r="A16" s="141" t="s">
        <v>219</v>
      </c>
      <c r="B16" s="147">
        <f>(($B$6)*'DATI di input'!B12)/1000000</f>
        <v>194.9749920698751</v>
      </c>
      <c r="C16" s="147">
        <f>(($B$6)*'DATI di input'!C12)/1000000</f>
        <v>18.083057121875004</v>
      </c>
      <c r="D16" s="147">
        <f>(($B$6)*'DATI di input'!D12)/1000000</f>
        <v>9.082649461708316</v>
      </c>
      <c r="E16" s="147">
        <f>(($B$6)*'DATI di input'!E12)/1000000</f>
        <v>99.82423759850009</v>
      </c>
      <c r="F16" s="147">
        <f>(($B$6)*'DATI di input'!F12)/1000000</f>
        <v>2.3913178260416679</v>
      </c>
      <c r="G16" s="147">
        <f>E16+((D16*28)/1000)+((F16*265)/1000)</f>
        <v>100.71225100732897</v>
      </c>
    </row>
    <row r="17" spans="1:7" ht="13.2" x14ac:dyDescent="0.25">
      <c r="A17" s="141" t="s">
        <v>240</v>
      </c>
      <c r="B17" s="147">
        <f>(($B$11)*'DATI di input'!B13)/1000000</f>
        <v>18.048347864715478</v>
      </c>
      <c r="C17" s="147">
        <f>(($B$11)*'DATI di input'!C13)/1000000</f>
        <v>1.6194188555784268</v>
      </c>
      <c r="D17" s="147">
        <f>(($B$11)*'DATI di input'!D13)/1000000</f>
        <v>0.87231517942262848</v>
      </c>
      <c r="E17" s="147">
        <f>(($B$11)*'DATI di input'!E13)/1000000</f>
        <v>5.563068309749756</v>
      </c>
      <c r="F17" s="147">
        <f>(($B$11)*'DATI di input'!F13)/1000000</f>
        <v>0.12628552582701366</v>
      </c>
      <c r="G17" s="147">
        <f>E17+((D17*28)/1000)+((F17*265)/1000)</f>
        <v>5.6209587991177488</v>
      </c>
    </row>
    <row r="18" spans="1:7" ht="13.2" x14ac:dyDescent="0.25">
      <c r="A18" s="143" t="s">
        <v>241</v>
      </c>
      <c r="B18" s="144">
        <f t="shared" ref="B18:G18" si="0">SUM(B16:B17)</f>
        <v>213.02333993459058</v>
      </c>
      <c r="C18" s="144">
        <f t="shared" si="0"/>
        <v>19.702475977453432</v>
      </c>
      <c r="D18" s="144">
        <f t="shared" si="0"/>
        <v>9.9549646411309443</v>
      </c>
      <c r="E18" s="144">
        <f t="shared" si="0"/>
        <v>105.38730590824984</v>
      </c>
      <c r="F18" s="144">
        <f t="shared" si="0"/>
        <v>2.5176033518686816</v>
      </c>
      <c r="G18" s="144">
        <f t="shared" si="0"/>
        <v>106.33320980644672</v>
      </c>
    </row>
    <row r="21" spans="1:7" ht="15.6" x14ac:dyDescent="0.3">
      <c r="A21" s="60"/>
      <c r="B21" s="145" t="s">
        <v>242</v>
      </c>
    </row>
    <row r="22" spans="1:7" ht="13.2" x14ac:dyDescent="0.25">
      <c r="A22" s="60" t="s">
        <v>57</v>
      </c>
      <c r="B22" s="60">
        <v>265</v>
      </c>
    </row>
    <row r="23" spans="1:7" ht="13.2" x14ac:dyDescent="0.25">
      <c r="A23" s="60" t="s">
        <v>53</v>
      </c>
      <c r="B23" s="60">
        <v>28</v>
      </c>
    </row>
    <row r="24" spans="1:7" ht="13.2" x14ac:dyDescent="0.25">
      <c r="A24" s="60"/>
      <c r="B24" s="60"/>
    </row>
    <row r="25" spans="1:7" ht="13.2" x14ac:dyDescent="0.25">
      <c r="A25" s="146" t="s">
        <v>243</v>
      </c>
    </row>
  </sheetData>
  <mergeCells count="1">
    <mergeCell ref="A1:F1"/>
  </mergeCells>
  <hyperlinks>
    <hyperlink ref="A25" r:id="rId1"/>
  </hyperlink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80" zoomScaleNormal="80" workbookViewId="0">
      <selection activeCell="C6" sqref="C6"/>
    </sheetView>
  </sheetViews>
  <sheetFormatPr defaultColWidth="11.5546875" defaultRowHeight="12.75" customHeight="1" x14ac:dyDescent="0.25"/>
  <cols>
    <col min="1" max="16384" width="11.5546875" style="125"/>
  </cols>
  <sheetData>
    <row r="1" spans="1:7" ht="205.2" customHeight="1" x14ac:dyDescent="0.25">
      <c r="A1" s="4" t="s">
        <v>247</v>
      </c>
      <c r="B1" s="4"/>
      <c r="C1" s="4"/>
      <c r="D1" s="4"/>
      <c r="E1" s="4"/>
      <c r="F1" s="4"/>
    </row>
    <row r="3" spans="1:7" ht="13.2" x14ac:dyDescent="0.25">
      <c r="A3" s="137" t="s">
        <v>226</v>
      </c>
      <c r="B3" s="148">
        <f>'DATI di input'!B4*0.05</f>
        <v>884.2</v>
      </c>
      <c r="C3" s="125" t="s">
        <v>248</v>
      </c>
    </row>
    <row r="4" spans="1:7" ht="13.2" x14ac:dyDescent="0.25">
      <c r="A4" s="137" t="s">
        <v>228</v>
      </c>
      <c r="B4" s="148">
        <v>10</v>
      </c>
      <c r="C4" s="125" t="s">
        <v>249</v>
      </c>
    </row>
    <row r="5" spans="1:7" ht="13.2" x14ac:dyDescent="0.25">
      <c r="A5" s="137" t="s">
        <v>230</v>
      </c>
      <c r="B5" s="148">
        <v>250</v>
      </c>
      <c r="C5" s="125" t="s">
        <v>250</v>
      </c>
    </row>
    <row r="6" spans="1:7" ht="15.6" x14ac:dyDescent="0.35">
      <c r="A6" s="137" t="s">
        <v>232</v>
      </c>
      <c r="B6" s="149">
        <f>((B3/1.2)*B4)*B5</f>
        <v>1842083.3333333335</v>
      </c>
    </row>
    <row r="7" spans="1:7" ht="13.2" x14ac:dyDescent="0.25">
      <c r="A7" s="139"/>
    </row>
    <row r="8" spans="1:7" ht="13.2" x14ac:dyDescent="0.25">
      <c r="A8" s="111" t="s">
        <v>235</v>
      </c>
    </row>
    <row r="9" spans="1:7" ht="31.2" x14ac:dyDescent="0.25">
      <c r="A9" s="140" t="s">
        <v>236</v>
      </c>
      <c r="B9" s="131" t="s">
        <v>49</v>
      </c>
      <c r="C9" s="131" t="s">
        <v>51</v>
      </c>
      <c r="D9" s="132" t="s">
        <v>53</v>
      </c>
      <c r="E9" s="132" t="s">
        <v>55</v>
      </c>
      <c r="F9" s="132" t="s">
        <v>57</v>
      </c>
      <c r="G9" s="132" t="s">
        <v>237</v>
      </c>
    </row>
    <row r="10" spans="1:7" ht="15.6" x14ac:dyDescent="0.3">
      <c r="A10" s="140"/>
      <c r="B10" s="133" t="s">
        <v>238</v>
      </c>
      <c r="C10" s="133" t="s">
        <v>238</v>
      </c>
      <c r="D10" s="132" t="s">
        <v>238</v>
      </c>
      <c r="E10" s="132" t="s">
        <v>239</v>
      </c>
      <c r="F10" s="132" t="s">
        <v>238</v>
      </c>
      <c r="G10" s="132" t="s">
        <v>239</v>
      </c>
    </row>
    <row r="11" spans="1:7" ht="13.2" x14ac:dyDescent="0.25">
      <c r="A11" s="141" t="s">
        <v>219</v>
      </c>
      <c r="B11" s="142">
        <f>(($B$6)*'DATI di input'!B12)/1000000</f>
        <v>720.00036747487297</v>
      </c>
      <c r="C11" s="142">
        <f>(($B$6)*'DATI di input'!C12)/1000000</f>
        <v>66.77680883378666</v>
      </c>
      <c r="D11" s="142">
        <f>(($B$6)*'DATI di input'!D12)/1000000</f>
        <v>33.540254986812954</v>
      </c>
      <c r="E11" s="142">
        <f>(($B$6)*'DATI di input'!E12)/1000000</f>
        <v>368.62926363428744</v>
      </c>
      <c r="F11" s="142">
        <f>(($B$6)*'DATI di input'!F12)/1000000</f>
        <v>8.8306181999082973</v>
      </c>
      <c r="G11" s="142">
        <f>E11+((D11*28)/1000)+((F11*265)/1000)</f>
        <v>371.90850459689392</v>
      </c>
    </row>
    <row r="12" spans="1:7" ht="13.2" x14ac:dyDescent="0.25">
      <c r="A12" s="143" t="s">
        <v>241</v>
      </c>
      <c r="B12" s="144">
        <f t="shared" ref="B12:G12" si="0">SUM(B11)</f>
        <v>720.00036747487297</v>
      </c>
      <c r="C12" s="144">
        <f t="shared" si="0"/>
        <v>66.77680883378666</v>
      </c>
      <c r="D12" s="144">
        <f t="shared" si="0"/>
        <v>33.540254986812954</v>
      </c>
      <c r="E12" s="144">
        <f t="shared" si="0"/>
        <v>368.62926363428744</v>
      </c>
      <c r="F12" s="144">
        <f t="shared" si="0"/>
        <v>8.8306181999082973</v>
      </c>
      <c r="G12" s="144">
        <f t="shared" si="0"/>
        <v>371.90850459689392</v>
      </c>
    </row>
    <row r="15" spans="1:7" ht="15.6" x14ac:dyDescent="0.3">
      <c r="A15" s="60"/>
      <c r="B15" s="145" t="s">
        <v>242</v>
      </c>
    </row>
    <row r="16" spans="1:7" ht="13.2" x14ac:dyDescent="0.25">
      <c r="A16" s="60" t="s">
        <v>57</v>
      </c>
      <c r="B16" s="60">
        <v>265</v>
      </c>
    </row>
    <row r="17" spans="1:2" ht="13.2" x14ac:dyDescent="0.25">
      <c r="A17" s="60" t="s">
        <v>53</v>
      </c>
      <c r="B17" s="60">
        <v>28</v>
      </c>
    </row>
    <row r="18" spans="1:2" ht="13.2" x14ac:dyDescent="0.25">
      <c r="A18" s="60"/>
      <c r="B18" s="60"/>
    </row>
    <row r="19" spans="1:2" ht="13.2" x14ac:dyDescent="0.25">
      <c r="A19" s="146" t="s">
        <v>243</v>
      </c>
    </row>
  </sheetData>
  <mergeCells count="1">
    <mergeCell ref="A1:F1"/>
  </mergeCells>
  <hyperlinks>
    <hyperlink ref="A19" r:id="rId1"/>
  </hyperlink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21"/>
  <sheetViews>
    <sheetView topLeftCell="A2" zoomScale="80" zoomScaleNormal="80" workbookViewId="0">
      <selection activeCell="J12" sqref="J12"/>
    </sheetView>
  </sheetViews>
  <sheetFormatPr defaultColWidth="11.5546875" defaultRowHeight="12.75" customHeight="1" x14ac:dyDescent="0.25"/>
  <cols>
    <col min="1" max="16384" width="11.5546875" style="125"/>
  </cols>
  <sheetData>
    <row r="1" spans="1:257" ht="355.2" customHeight="1" x14ac:dyDescent="0.25">
      <c r="A1" s="3" t="s">
        <v>251</v>
      </c>
      <c r="B1" s="3"/>
      <c r="C1" s="3"/>
      <c r="D1" s="3"/>
      <c r="E1" s="3"/>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c r="DC1" s="150"/>
      <c r="DD1" s="150"/>
      <c r="DE1" s="150"/>
      <c r="DF1" s="150"/>
      <c r="DG1" s="150"/>
      <c r="DH1" s="150"/>
      <c r="DI1" s="150"/>
      <c r="DJ1" s="150"/>
      <c r="DK1" s="150"/>
      <c r="DL1" s="150"/>
      <c r="DM1" s="150"/>
      <c r="DN1" s="150"/>
      <c r="DO1" s="150"/>
      <c r="DP1" s="150"/>
      <c r="DQ1" s="150"/>
      <c r="DR1" s="150"/>
      <c r="DS1" s="150"/>
      <c r="DT1" s="150"/>
      <c r="DU1" s="150"/>
      <c r="DV1" s="150"/>
      <c r="DW1" s="150"/>
      <c r="DX1" s="150"/>
      <c r="DY1" s="150"/>
      <c r="DZ1" s="150"/>
      <c r="EA1" s="150"/>
      <c r="EB1" s="150"/>
      <c r="EC1" s="150"/>
      <c r="ED1" s="150"/>
      <c r="EE1" s="150"/>
      <c r="EF1" s="150"/>
      <c r="EG1" s="150"/>
      <c r="EH1" s="150"/>
      <c r="EI1" s="150"/>
      <c r="EJ1" s="150"/>
      <c r="EK1" s="150"/>
      <c r="EL1" s="150"/>
      <c r="EM1" s="150"/>
      <c r="EN1" s="150"/>
      <c r="EO1" s="150"/>
      <c r="EP1" s="150"/>
      <c r="EQ1" s="150"/>
      <c r="ER1" s="150"/>
      <c r="ES1" s="150"/>
      <c r="ET1" s="150"/>
      <c r="EU1" s="150"/>
      <c r="EV1" s="150"/>
      <c r="EW1" s="150"/>
      <c r="EX1" s="150"/>
      <c r="EY1" s="150"/>
      <c r="EZ1" s="150"/>
      <c r="FA1" s="150"/>
      <c r="FB1" s="150"/>
      <c r="FC1" s="150"/>
      <c r="FD1" s="150"/>
      <c r="FE1" s="150"/>
      <c r="FF1" s="150"/>
      <c r="FG1" s="150"/>
      <c r="FH1" s="150"/>
      <c r="FI1" s="150"/>
      <c r="FJ1" s="150"/>
      <c r="FK1" s="150"/>
      <c r="FL1" s="150"/>
      <c r="FM1" s="150"/>
      <c r="FN1" s="150"/>
      <c r="FO1" s="150"/>
      <c r="FP1" s="150"/>
      <c r="FQ1" s="150"/>
      <c r="FR1" s="150"/>
      <c r="FS1" s="150"/>
      <c r="FT1" s="150"/>
      <c r="FU1" s="150"/>
      <c r="FV1" s="150"/>
      <c r="FW1" s="150"/>
      <c r="FX1" s="150"/>
      <c r="FY1" s="150"/>
      <c r="FZ1" s="150"/>
      <c r="GA1" s="150"/>
      <c r="GB1" s="150"/>
      <c r="GC1" s="150"/>
      <c r="GD1" s="150"/>
      <c r="GE1" s="150"/>
      <c r="GF1" s="150"/>
      <c r="GG1" s="150"/>
      <c r="GH1" s="150"/>
      <c r="GI1" s="150"/>
      <c r="GJ1" s="150"/>
      <c r="GK1" s="150"/>
      <c r="GL1" s="150"/>
      <c r="GM1" s="150"/>
      <c r="GN1" s="150"/>
      <c r="GO1" s="150"/>
      <c r="GP1" s="150"/>
      <c r="GQ1" s="150"/>
      <c r="GR1" s="150"/>
      <c r="GS1" s="150"/>
      <c r="GT1" s="150"/>
      <c r="GU1" s="150"/>
      <c r="GV1" s="150"/>
      <c r="GW1" s="150"/>
      <c r="GX1" s="150"/>
      <c r="GY1" s="150"/>
      <c r="GZ1" s="150"/>
      <c r="HA1" s="150"/>
      <c r="HB1" s="150"/>
      <c r="HC1" s="150"/>
      <c r="HD1" s="150"/>
      <c r="HE1" s="150"/>
      <c r="HF1" s="150"/>
      <c r="HG1" s="150"/>
      <c r="HH1" s="150"/>
      <c r="HI1" s="150"/>
      <c r="HJ1" s="150"/>
      <c r="HK1" s="150"/>
      <c r="HL1" s="150"/>
      <c r="HM1" s="150"/>
      <c r="HN1" s="150"/>
      <c r="HO1" s="150"/>
      <c r="HP1" s="150"/>
      <c r="HQ1" s="150"/>
      <c r="HR1" s="150"/>
      <c r="HS1" s="150"/>
      <c r="HT1" s="150"/>
      <c r="HU1" s="150"/>
      <c r="HV1" s="150"/>
      <c r="HW1" s="150"/>
      <c r="HX1" s="150"/>
      <c r="HY1" s="150"/>
      <c r="HZ1" s="150"/>
      <c r="IA1" s="150"/>
      <c r="IB1" s="150"/>
      <c r="IC1" s="150"/>
      <c r="ID1" s="150"/>
      <c r="IE1" s="150"/>
      <c r="IF1" s="150"/>
      <c r="IG1" s="150"/>
      <c r="IH1" s="150"/>
      <c r="II1" s="150"/>
      <c r="IJ1" s="150"/>
      <c r="IK1" s="150"/>
      <c r="IL1" s="150"/>
      <c r="IM1" s="150"/>
      <c r="IN1" s="150"/>
      <c r="IO1" s="150"/>
      <c r="IP1" s="150"/>
      <c r="IQ1" s="150"/>
      <c r="IR1" s="150"/>
      <c r="IS1" s="150"/>
      <c r="IT1" s="150"/>
      <c r="IU1" s="150"/>
      <c r="IV1" s="150"/>
      <c r="IW1" s="150"/>
    </row>
    <row r="2" spans="1:257" ht="13.2" x14ac:dyDescent="0.25">
      <c r="A2" s="150"/>
      <c r="B2" s="150"/>
      <c r="C2" s="150"/>
      <c r="D2" s="150"/>
      <c r="E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150"/>
      <c r="EU2" s="150"/>
      <c r="EV2" s="150"/>
      <c r="EW2" s="150"/>
      <c r="EX2" s="150"/>
      <c r="EY2" s="150"/>
      <c r="EZ2" s="150"/>
      <c r="FA2" s="150"/>
      <c r="FB2" s="150"/>
      <c r="FC2" s="150"/>
      <c r="FD2" s="150"/>
      <c r="FE2" s="150"/>
      <c r="FF2" s="150"/>
      <c r="FG2" s="150"/>
      <c r="FH2" s="150"/>
      <c r="FI2" s="150"/>
      <c r="FJ2" s="150"/>
      <c r="FK2" s="150"/>
      <c r="FL2" s="150"/>
      <c r="FM2" s="150"/>
      <c r="FN2" s="150"/>
      <c r="FO2" s="150"/>
      <c r="FP2" s="150"/>
      <c r="FQ2" s="150"/>
      <c r="FR2" s="150"/>
      <c r="FS2" s="150"/>
      <c r="FT2" s="150"/>
      <c r="FU2" s="150"/>
      <c r="FV2" s="150"/>
      <c r="FW2" s="150"/>
      <c r="FX2" s="150"/>
      <c r="FY2" s="150"/>
      <c r="FZ2" s="150"/>
      <c r="GA2" s="150"/>
      <c r="GB2" s="150"/>
      <c r="GC2" s="150"/>
      <c r="GD2" s="150"/>
      <c r="GE2" s="150"/>
      <c r="GF2" s="150"/>
      <c r="GG2" s="150"/>
      <c r="GH2" s="150"/>
      <c r="GI2" s="150"/>
      <c r="GJ2" s="150"/>
      <c r="GK2" s="150"/>
      <c r="GL2" s="150"/>
      <c r="GM2" s="150"/>
      <c r="GN2" s="150"/>
      <c r="GO2" s="150"/>
      <c r="GP2" s="150"/>
      <c r="GQ2" s="150"/>
      <c r="GR2" s="150"/>
      <c r="GS2" s="150"/>
      <c r="GT2" s="150"/>
      <c r="GU2" s="150"/>
      <c r="GV2" s="150"/>
      <c r="GW2" s="150"/>
      <c r="GX2" s="150"/>
      <c r="GY2" s="150"/>
      <c r="GZ2" s="150"/>
      <c r="HA2" s="150"/>
      <c r="HB2" s="150"/>
      <c r="HC2" s="150"/>
      <c r="HD2" s="150"/>
      <c r="HE2" s="150"/>
      <c r="HF2" s="150"/>
      <c r="HG2" s="150"/>
      <c r="HH2" s="150"/>
      <c r="HI2" s="150"/>
      <c r="HJ2" s="150"/>
      <c r="HK2" s="150"/>
      <c r="HL2" s="150"/>
      <c r="HM2" s="150"/>
      <c r="HN2" s="150"/>
      <c r="HO2" s="150"/>
      <c r="HP2" s="150"/>
      <c r="HQ2" s="150"/>
      <c r="HR2" s="150"/>
      <c r="HS2" s="150"/>
      <c r="HT2" s="150"/>
      <c r="HU2" s="150"/>
      <c r="HV2" s="150"/>
      <c r="HW2" s="150"/>
      <c r="HX2" s="150"/>
      <c r="HY2" s="150"/>
      <c r="HZ2" s="150"/>
      <c r="IA2" s="150"/>
      <c r="IB2" s="150"/>
      <c r="IC2" s="150"/>
      <c r="ID2" s="150"/>
      <c r="IE2" s="150"/>
      <c r="IF2" s="150"/>
      <c r="IG2" s="150"/>
      <c r="IH2" s="150"/>
      <c r="II2" s="150"/>
      <c r="IJ2" s="150"/>
      <c r="IK2" s="150"/>
      <c r="IL2" s="150"/>
      <c r="IM2" s="150"/>
      <c r="IN2" s="150"/>
      <c r="IO2" s="150"/>
      <c r="IP2" s="150"/>
      <c r="IQ2" s="150"/>
      <c r="IR2" s="150"/>
      <c r="IS2" s="150"/>
      <c r="IT2" s="150"/>
      <c r="IU2" s="150"/>
      <c r="IV2" s="150"/>
      <c r="IW2" s="150"/>
    </row>
    <row r="3" spans="1:257" ht="92.4" x14ac:dyDescent="0.25">
      <c r="A3" s="150" t="s">
        <v>252</v>
      </c>
      <c r="B3" s="151">
        <v>500</v>
      </c>
      <c r="C3" s="150" t="s">
        <v>253</v>
      </c>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0"/>
      <c r="DK3" s="150"/>
      <c r="DL3" s="150"/>
      <c r="DM3" s="150"/>
      <c r="DN3" s="150"/>
      <c r="DO3" s="150"/>
      <c r="DP3" s="150"/>
      <c r="DQ3" s="150"/>
      <c r="DR3" s="150"/>
      <c r="DS3" s="150"/>
      <c r="DT3" s="150"/>
      <c r="DU3" s="150"/>
      <c r="DV3" s="150"/>
      <c r="DW3" s="150"/>
      <c r="DX3" s="150"/>
      <c r="DY3" s="150"/>
      <c r="DZ3" s="150"/>
      <c r="EA3" s="150"/>
      <c r="EB3" s="150"/>
      <c r="EC3" s="150"/>
      <c r="ED3" s="150"/>
      <c r="EE3" s="150"/>
      <c r="EF3" s="150"/>
      <c r="EG3" s="150"/>
      <c r="EH3" s="150"/>
      <c r="EI3" s="150"/>
      <c r="EJ3" s="150"/>
      <c r="EK3" s="150"/>
      <c r="EL3" s="150"/>
      <c r="EM3" s="150"/>
      <c r="EN3" s="150"/>
      <c r="EO3" s="150"/>
      <c r="EP3" s="150"/>
      <c r="EQ3" s="150"/>
      <c r="ER3" s="150"/>
      <c r="ES3" s="150"/>
      <c r="ET3" s="150"/>
      <c r="EU3" s="150"/>
      <c r="EV3" s="150"/>
      <c r="EW3" s="150"/>
      <c r="EX3" s="150"/>
      <c r="EY3" s="150"/>
      <c r="EZ3" s="150"/>
      <c r="FA3" s="150"/>
      <c r="FB3" s="150"/>
      <c r="FC3" s="150"/>
      <c r="FD3" s="150"/>
      <c r="FE3" s="150"/>
      <c r="FF3" s="150"/>
      <c r="FG3" s="150"/>
      <c r="FH3" s="150"/>
      <c r="FI3" s="150"/>
      <c r="FJ3" s="150"/>
      <c r="FK3" s="150"/>
      <c r="FL3" s="150"/>
      <c r="FM3" s="150"/>
      <c r="FN3" s="150"/>
      <c r="FO3" s="150"/>
      <c r="FP3" s="150"/>
      <c r="FQ3" s="150"/>
      <c r="FR3" s="150"/>
      <c r="FS3" s="150"/>
      <c r="FT3" s="150"/>
      <c r="FU3" s="150"/>
      <c r="FV3" s="150"/>
      <c r="FW3" s="150"/>
      <c r="FX3" s="150"/>
      <c r="FY3" s="150"/>
      <c r="FZ3" s="150"/>
      <c r="GA3" s="150"/>
      <c r="GB3" s="150"/>
      <c r="GC3" s="150"/>
      <c r="GD3" s="150"/>
      <c r="GE3" s="150"/>
      <c r="GF3" s="150"/>
      <c r="GG3" s="150"/>
      <c r="GH3" s="150"/>
      <c r="GI3" s="150"/>
      <c r="GJ3" s="150"/>
      <c r="GK3" s="150"/>
      <c r="GL3" s="150"/>
      <c r="GM3" s="150"/>
      <c r="GN3" s="150"/>
      <c r="GO3" s="150"/>
      <c r="GP3" s="150"/>
      <c r="GQ3" s="150"/>
      <c r="GR3" s="150"/>
      <c r="GS3" s="150"/>
      <c r="GT3" s="150"/>
      <c r="GU3" s="150"/>
      <c r="GV3" s="150"/>
      <c r="GW3" s="150"/>
      <c r="GX3" s="150"/>
      <c r="GY3" s="150"/>
      <c r="GZ3" s="150"/>
      <c r="HA3" s="150"/>
      <c r="HB3" s="150"/>
      <c r="HC3" s="150"/>
      <c r="HD3" s="150"/>
      <c r="HE3" s="150"/>
      <c r="HF3" s="150"/>
      <c r="HG3" s="150"/>
      <c r="HH3" s="150"/>
      <c r="HI3" s="150"/>
      <c r="HJ3" s="150"/>
      <c r="HK3" s="150"/>
      <c r="HL3" s="150"/>
      <c r="HM3" s="150"/>
      <c r="HN3" s="150"/>
      <c r="HO3" s="150"/>
      <c r="HP3" s="150"/>
      <c r="HQ3" s="150"/>
      <c r="HR3" s="150"/>
      <c r="HS3" s="150"/>
      <c r="HT3" s="150"/>
      <c r="HU3" s="150"/>
      <c r="HV3" s="150"/>
      <c r="HW3" s="150"/>
      <c r="HX3" s="150"/>
      <c r="HY3" s="150"/>
      <c r="HZ3" s="150"/>
      <c r="IA3" s="150"/>
      <c r="IB3" s="150"/>
      <c r="IC3" s="150"/>
      <c r="ID3" s="150"/>
      <c r="IE3" s="150"/>
      <c r="IF3" s="150"/>
      <c r="IG3" s="150"/>
      <c r="IH3" s="150"/>
      <c r="II3" s="150"/>
      <c r="IJ3" s="150"/>
      <c r="IK3" s="150"/>
      <c r="IL3" s="150"/>
      <c r="IM3" s="150"/>
      <c r="IN3" s="150"/>
      <c r="IO3" s="150"/>
      <c r="IP3" s="150"/>
      <c r="IQ3" s="150"/>
      <c r="IR3" s="150"/>
      <c r="IS3" s="150"/>
      <c r="IT3" s="150"/>
      <c r="IU3" s="150"/>
      <c r="IV3" s="150"/>
      <c r="IW3" s="150"/>
    </row>
    <row r="4" spans="1:257" ht="52.8" x14ac:dyDescent="0.25">
      <c r="A4" s="150" t="s">
        <v>254</v>
      </c>
      <c r="B4" s="151">
        <f>B3*0.7</f>
        <v>350</v>
      </c>
      <c r="C4" s="150" t="s">
        <v>255</v>
      </c>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0"/>
      <c r="CO4" s="150"/>
      <c r="CP4" s="150"/>
      <c r="CQ4" s="150"/>
      <c r="CR4" s="150"/>
      <c r="CS4" s="150"/>
      <c r="CT4" s="150"/>
      <c r="CU4" s="150"/>
      <c r="CV4" s="150"/>
      <c r="CW4" s="150"/>
      <c r="CX4" s="150"/>
      <c r="CY4" s="150"/>
      <c r="CZ4" s="150"/>
      <c r="DA4" s="150"/>
      <c r="DB4" s="150"/>
      <c r="DC4" s="150"/>
      <c r="DD4" s="150"/>
      <c r="DE4" s="150"/>
      <c r="DF4" s="150"/>
      <c r="DG4" s="150"/>
      <c r="DH4" s="150"/>
      <c r="DI4" s="150"/>
      <c r="DJ4" s="150"/>
      <c r="DK4" s="150"/>
      <c r="DL4" s="150"/>
      <c r="DM4" s="150"/>
      <c r="DN4" s="150"/>
      <c r="DO4" s="150"/>
      <c r="DP4" s="150"/>
      <c r="DQ4" s="150"/>
      <c r="DR4" s="150"/>
      <c r="DS4" s="150"/>
      <c r="DT4" s="150"/>
      <c r="DU4" s="150"/>
      <c r="DV4" s="150"/>
      <c r="DW4" s="150"/>
      <c r="DX4" s="150"/>
      <c r="DY4" s="150"/>
      <c r="DZ4" s="150"/>
      <c r="EA4" s="150"/>
      <c r="EB4" s="150"/>
      <c r="EC4" s="150"/>
      <c r="ED4" s="150"/>
      <c r="EE4" s="150"/>
      <c r="EF4" s="150"/>
      <c r="EG4" s="150"/>
      <c r="EH4" s="150"/>
      <c r="EI4" s="150"/>
      <c r="EJ4" s="150"/>
      <c r="EK4" s="150"/>
      <c r="EL4" s="150"/>
      <c r="EM4" s="150"/>
      <c r="EN4" s="150"/>
      <c r="EO4" s="150"/>
      <c r="EP4" s="150"/>
      <c r="EQ4" s="150"/>
      <c r="ER4" s="150"/>
      <c r="ES4" s="150"/>
      <c r="ET4" s="150"/>
      <c r="EU4" s="150"/>
      <c r="EV4" s="150"/>
      <c r="EW4" s="150"/>
      <c r="EX4" s="150"/>
      <c r="EY4" s="150"/>
      <c r="EZ4" s="150"/>
      <c r="FA4" s="150"/>
      <c r="FB4" s="150"/>
      <c r="FC4" s="150"/>
      <c r="FD4" s="150"/>
      <c r="FE4" s="150"/>
      <c r="FF4" s="150"/>
      <c r="FG4" s="150"/>
      <c r="FH4" s="150"/>
      <c r="FI4" s="150"/>
      <c r="FJ4" s="150"/>
      <c r="FK4" s="150"/>
      <c r="FL4" s="150"/>
      <c r="FM4" s="150"/>
      <c r="FN4" s="150"/>
      <c r="FO4" s="150"/>
      <c r="FP4" s="150"/>
      <c r="FQ4" s="150"/>
      <c r="FR4" s="150"/>
      <c r="FS4" s="150"/>
      <c r="FT4" s="150"/>
      <c r="FU4" s="150"/>
      <c r="FV4" s="150"/>
      <c r="FW4" s="150"/>
      <c r="FX4" s="150"/>
      <c r="FY4" s="150"/>
      <c r="FZ4" s="150"/>
      <c r="GA4" s="150"/>
      <c r="GB4" s="150"/>
      <c r="GC4" s="150"/>
      <c r="GD4" s="150"/>
      <c r="GE4" s="150"/>
      <c r="GF4" s="150"/>
      <c r="GG4" s="150"/>
      <c r="GH4" s="150"/>
      <c r="GI4" s="150"/>
      <c r="GJ4" s="150"/>
      <c r="GK4" s="150"/>
      <c r="GL4" s="150"/>
      <c r="GM4" s="150"/>
      <c r="GN4" s="150"/>
      <c r="GO4" s="150"/>
      <c r="GP4" s="150"/>
      <c r="GQ4" s="150"/>
      <c r="GR4" s="150"/>
      <c r="GS4" s="150"/>
      <c r="GT4" s="150"/>
      <c r="GU4" s="150"/>
      <c r="GV4" s="150"/>
      <c r="GW4" s="150"/>
      <c r="GX4" s="150"/>
      <c r="GY4" s="150"/>
      <c r="GZ4" s="150"/>
      <c r="HA4" s="150"/>
      <c r="HB4" s="150"/>
      <c r="HC4" s="150"/>
      <c r="HD4" s="150"/>
      <c r="HE4" s="150"/>
      <c r="HF4" s="150"/>
      <c r="HG4" s="150"/>
      <c r="HH4" s="150"/>
      <c r="HI4" s="150"/>
      <c r="HJ4" s="150"/>
      <c r="HK4" s="150"/>
      <c r="HL4" s="150"/>
      <c r="HM4" s="150"/>
      <c r="HN4" s="150"/>
      <c r="HO4" s="150"/>
      <c r="HP4" s="150"/>
      <c r="HQ4" s="150"/>
      <c r="HR4" s="150"/>
      <c r="HS4" s="150"/>
      <c r="HT4" s="150"/>
      <c r="HU4" s="150"/>
      <c r="HV4" s="150"/>
      <c r="HW4" s="150"/>
      <c r="HX4" s="150"/>
      <c r="HY4" s="150"/>
      <c r="HZ4" s="150"/>
      <c r="IA4" s="150"/>
      <c r="IB4" s="150"/>
      <c r="IC4" s="150"/>
      <c r="ID4" s="150"/>
      <c r="IE4" s="150"/>
      <c r="IF4" s="150"/>
      <c r="IG4" s="150"/>
      <c r="IH4" s="150"/>
      <c r="II4" s="150"/>
      <c r="IJ4" s="150"/>
      <c r="IK4" s="150"/>
      <c r="IL4" s="150"/>
      <c r="IM4" s="150"/>
      <c r="IN4" s="150"/>
      <c r="IO4" s="150"/>
      <c r="IP4" s="150"/>
      <c r="IQ4" s="150"/>
      <c r="IR4" s="150"/>
      <c r="IS4" s="150"/>
      <c r="IT4" s="150"/>
      <c r="IU4" s="150"/>
      <c r="IV4" s="150"/>
      <c r="IW4" s="150"/>
    </row>
    <row r="5" spans="1:257" ht="13.2" x14ac:dyDescent="0.25">
      <c r="A5" s="137" t="s">
        <v>226</v>
      </c>
      <c r="B5" s="148">
        <f>B4*0.2</f>
        <v>70</v>
      </c>
      <c r="C5" s="125" t="s">
        <v>256</v>
      </c>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c r="BH5" s="150"/>
      <c r="BI5" s="150"/>
      <c r="BJ5" s="150"/>
      <c r="BK5" s="150"/>
      <c r="BL5" s="150"/>
      <c r="BM5" s="150"/>
      <c r="BN5" s="150"/>
      <c r="BO5" s="150"/>
      <c r="BP5" s="150"/>
      <c r="BQ5" s="150"/>
      <c r="BR5" s="150"/>
      <c r="BS5" s="150"/>
      <c r="BT5" s="150"/>
      <c r="BU5" s="150"/>
      <c r="BV5" s="150"/>
      <c r="BW5" s="150"/>
      <c r="BX5" s="150"/>
      <c r="BY5" s="150"/>
      <c r="BZ5" s="150"/>
      <c r="CA5" s="150"/>
      <c r="CB5" s="150"/>
      <c r="CC5" s="150"/>
      <c r="CD5" s="150"/>
      <c r="CE5" s="150"/>
      <c r="CF5" s="150"/>
      <c r="CG5" s="150"/>
      <c r="CH5" s="150"/>
      <c r="CI5" s="150"/>
      <c r="CJ5" s="150"/>
      <c r="CK5" s="150"/>
      <c r="CL5" s="150"/>
      <c r="CM5" s="150"/>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0"/>
      <c r="DL5" s="150"/>
      <c r="DM5" s="150"/>
      <c r="DN5" s="150"/>
      <c r="DO5" s="150"/>
      <c r="DP5" s="150"/>
      <c r="DQ5" s="150"/>
      <c r="DR5" s="150"/>
      <c r="DS5" s="150"/>
      <c r="DT5" s="150"/>
      <c r="DU5" s="150"/>
      <c r="DV5" s="150"/>
      <c r="DW5" s="150"/>
      <c r="DX5" s="150"/>
      <c r="DY5" s="150"/>
      <c r="DZ5" s="150"/>
      <c r="EA5" s="150"/>
      <c r="EB5" s="150"/>
      <c r="EC5" s="150"/>
      <c r="ED5" s="150"/>
      <c r="EE5" s="150"/>
      <c r="EF5" s="150"/>
      <c r="EG5" s="150"/>
      <c r="EH5" s="150"/>
      <c r="EI5" s="150"/>
      <c r="EJ5" s="150"/>
      <c r="EK5" s="150"/>
      <c r="EL5" s="150"/>
      <c r="EM5" s="150"/>
      <c r="EN5" s="150"/>
      <c r="EO5" s="150"/>
      <c r="EP5" s="150"/>
      <c r="EQ5" s="150"/>
      <c r="ER5" s="150"/>
      <c r="ES5" s="150"/>
      <c r="ET5" s="150"/>
      <c r="EU5" s="150"/>
      <c r="EV5" s="150"/>
      <c r="EW5" s="150"/>
      <c r="EX5" s="150"/>
      <c r="EY5" s="150"/>
      <c r="EZ5" s="150"/>
      <c r="FA5" s="150"/>
      <c r="FB5" s="150"/>
      <c r="FC5" s="150"/>
      <c r="FD5" s="150"/>
      <c r="FE5" s="150"/>
      <c r="FF5" s="150"/>
      <c r="FG5" s="150"/>
      <c r="FH5" s="150"/>
      <c r="FI5" s="150"/>
      <c r="FJ5" s="150"/>
      <c r="FK5" s="150"/>
      <c r="FL5" s="150"/>
      <c r="FM5" s="150"/>
      <c r="FN5" s="150"/>
      <c r="FO5" s="150"/>
      <c r="FP5" s="150"/>
      <c r="FQ5" s="150"/>
      <c r="FR5" s="150"/>
      <c r="FS5" s="150"/>
      <c r="FT5" s="150"/>
      <c r="FU5" s="150"/>
      <c r="FV5" s="150"/>
      <c r="FW5" s="150"/>
      <c r="FX5" s="150"/>
      <c r="FY5" s="150"/>
      <c r="FZ5" s="150"/>
      <c r="GA5" s="150"/>
      <c r="GB5" s="150"/>
      <c r="GC5" s="150"/>
      <c r="GD5" s="150"/>
      <c r="GE5" s="150"/>
      <c r="GF5" s="150"/>
      <c r="GG5" s="150"/>
      <c r="GH5" s="150"/>
      <c r="GI5" s="150"/>
      <c r="GJ5" s="150"/>
      <c r="GK5" s="150"/>
      <c r="GL5" s="150"/>
      <c r="GM5" s="150"/>
      <c r="GN5" s="150"/>
      <c r="GO5" s="150"/>
      <c r="GP5" s="150"/>
      <c r="GQ5" s="150"/>
      <c r="GR5" s="150"/>
      <c r="GS5" s="150"/>
      <c r="GT5" s="150"/>
      <c r="GU5" s="150"/>
      <c r="GV5" s="150"/>
      <c r="GW5" s="150"/>
      <c r="GX5" s="150"/>
      <c r="GY5" s="150"/>
      <c r="GZ5" s="150"/>
      <c r="HA5" s="150"/>
      <c r="HB5" s="150"/>
      <c r="HC5" s="150"/>
      <c r="HD5" s="150"/>
      <c r="HE5" s="150"/>
      <c r="HF5" s="150"/>
      <c r="HG5" s="150"/>
      <c r="HH5" s="150"/>
      <c r="HI5" s="150"/>
      <c r="HJ5" s="150"/>
      <c r="HK5" s="150"/>
      <c r="HL5" s="150"/>
      <c r="HM5" s="150"/>
      <c r="HN5" s="150"/>
      <c r="HO5" s="150"/>
      <c r="HP5" s="150"/>
      <c r="HQ5" s="150"/>
      <c r="HR5" s="150"/>
      <c r="HS5" s="150"/>
      <c r="HT5" s="150"/>
      <c r="HU5" s="150"/>
      <c r="HV5" s="150"/>
      <c r="HW5" s="150"/>
      <c r="HX5" s="150"/>
      <c r="HY5" s="150"/>
      <c r="HZ5" s="150"/>
      <c r="IA5" s="150"/>
      <c r="IB5" s="150"/>
      <c r="IC5" s="150"/>
      <c r="ID5" s="150"/>
      <c r="IE5" s="150"/>
      <c r="IF5" s="150"/>
      <c r="IG5" s="150"/>
      <c r="IH5" s="150"/>
      <c r="II5" s="150"/>
      <c r="IJ5" s="150"/>
      <c r="IK5" s="150"/>
      <c r="IL5" s="150"/>
      <c r="IM5" s="150"/>
      <c r="IN5" s="150"/>
      <c r="IO5" s="150"/>
      <c r="IP5" s="150"/>
      <c r="IQ5" s="150"/>
      <c r="IR5" s="150"/>
      <c r="IS5" s="150"/>
      <c r="IT5" s="150"/>
      <c r="IU5" s="150"/>
      <c r="IV5" s="150"/>
      <c r="IW5" s="150"/>
    </row>
    <row r="6" spans="1:257" ht="13.2" x14ac:dyDescent="0.25">
      <c r="A6" s="137" t="s">
        <v>228</v>
      </c>
      <c r="B6" s="148">
        <v>5</v>
      </c>
      <c r="C6" s="125" t="s">
        <v>257</v>
      </c>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c r="IC6" s="150"/>
      <c r="ID6" s="150"/>
      <c r="IE6" s="150"/>
      <c r="IF6" s="150"/>
      <c r="IG6" s="150"/>
      <c r="IH6" s="150"/>
      <c r="II6" s="150"/>
      <c r="IJ6" s="150"/>
      <c r="IK6" s="150"/>
      <c r="IL6" s="150"/>
      <c r="IM6" s="150"/>
      <c r="IN6" s="150"/>
      <c r="IO6" s="150"/>
      <c r="IP6" s="150"/>
      <c r="IQ6" s="150"/>
      <c r="IR6" s="150"/>
      <c r="IS6" s="150"/>
      <c r="IT6" s="150"/>
      <c r="IU6" s="150"/>
      <c r="IV6" s="150"/>
      <c r="IW6" s="150"/>
    </row>
    <row r="7" spans="1:257" ht="13.2" x14ac:dyDescent="0.25">
      <c r="A7" s="137" t="s">
        <v>230</v>
      </c>
      <c r="B7" s="148">
        <v>205</v>
      </c>
      <c r="C7" s="125" t="s">
        <v>258</v>
      </c>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c r="BH7" s="150"/>
      <c r="BI7" s="150"/>
      <c r="BJ7" s="150"/>
      <c r="BK7" s="150"/>
      <c r="BL7" s="150"/>
      <c r="BM7" s="150"/>
      <c r="BN7" s="150"/>
      <c r="BO7" s="150"/>
      <c r="BP7" s="150"/>
      <c r="BQ7" s="150"/>
      <c r="BR7" s="150"/>
      <c r="BS7" s="150"/>
      <c r="BT7" s="150"/>
      <c r="BU7" s="150"/>
      <c r="BV7" s="150"/>
      <c r="BW7" s="150"/>
      <c r="BX7" s="150"/>
      <c r="BY7" s="150"/>
      <c r="BZ7" s="150"/>
      <c r="CA7" s="150"/>
      <c r="CB7" s="150"/>
      <c r="CC7" s="150"/>
      <c r="CD7" s="150"/>
      <c r="CE7" s="150"/>
      <c r="CF7" s="150"/>
      <c r="CG7" s="150"/>
      <c r="CH7" s="150"/>
      <c r="CI7" s="150"/>
      <c r="CJ7" s="150"/>
      <c r="CK7" s="150"/>
      <c r="CL7" s="150"/>
      <c r="CM7" s="150"/>
      <c r="CN7" s="150"/>
      <c r="CO7" s="150"/>
      <c r="CP7" s="150"/>
      <c r="CQ7" s="150"/>
      <c r="CR7" s="150"/>
      <c r="CS7" s="150"/>
      <c r="CT7" s="150"/>
      <c r="CU7" s="150"/>
      <c r="CV7" s="150"/>
      <c r="CW7" s="150"/>
      <c r="CX7" s="150"/>
      <c r="CY7" s="150"/>
      <c r="CZ7" s="150"/>
      <c r="DA7" s="150"/>
      <c r="DB7" s="150"/>
      <c r="DC7" s="150"/>
      <c r="DD7" s="150"/>
      <c r="DE7" s="150"/>
      <c r="DF7" s="150"/>
      <c r="DG7" s="150"/>
      <c r="DH7" s="150"/>
      <c r="DI7" s="150"/>
      <c r="DJ7" s="150"/>
      <c r="DK7" s="150"/>
      <c r="DL7" s="150"/>
      <c r="DM7" s="150"/>
      <c r="DN7" s="150"/>
      <c r="DO7" s="150"/>
      <c r="DP7" s="150"/>
      <c r="DQ7" s="150"/>
      <c r="DR7" s="150"/>
      <c r="DS7" s="150"/>
      <c r="DT7" s="150"/>
      <c r="DU7" s="150"/>
      <c r="DV7" s="150"/>
      <c r="DW7" s="150"/>
      <c r="DX7" s="150"/>
      <c r="DY7" s="150"/>
      <c r="DZ7" s="150"/>
      <c r="EA7" s="150"/>
      <c r="EB7" s="150"/>
      <c r="EC7" s="150"/>
      <c r="ED7" s="150"/>
      <c r="EE7" s="150"/>
      <c r="EF7" s="150"/>
      <c r="EG7" s="150"/>
      <c r="EH7" s="150"/>
      <c r="EI7" s="150"/>
      <c r="EJ7" s="150"/>
      <c r="EK7" s="150"/>
      <c r="EL7" s="150"/>
      <c r="EM7" s="150"/>
      <c r="EN7" s="150"/>
      <c r="EO7" s="150"/>
      <c r="EP7" s="150"/>
      <c r="EQ7" s="150"/>
      <c r="ER7" s="150"/>
      <c r="ES7" s="150"/>
      <c r="ET7" s="150"/>
      <c r="EU7" s="150"/>
      <c r="EV7" s="150"/>
      <c r="EW7" s="150"/>
      <c r="EX7" s="150"/>
      <c r="EY7" s="150"/>
      <c r="EZ7" s="150"/>
      <c r="FA7" s="150"/>
      <c r="FB7" s="150"/>
      <c r="FC7" s="150"/>
      <c r="FD7" s="150"/>
      <c r="FE7" s="150"/>
      <c r="FF7" s="150"/>
      <c r="FG7" s="150"/>
      <c r="FH7" s="150"/>
      <c r="FI7" s="150"/>
      <c r="FJ7" s="150"/>
      <c r="FK7" s="150"/>
      <c r="FL7" s="150"/>
      <c r="FM7" s="150"/>
      <c r="FN7" s="150"/>
      <c r="FO7" s="150"/>
      <c r="FP7" s="150"/>
      <c r="FQ7" s="150"/>
      <c r="FR7" s="150"/>
      <c r="FS7" s="150"/>
      <c r="FT7" s="150"/>
      <c r="FU7" s="150"/>
      <c r="FV7" s="150"/>
      <c r="FW7" s="150"/>
      <c r="FX7" s="150"/>
      <c r="FY7" s="150"/>
      <c r="FZ7" s="150"/>
      <c r="GA7" s="150"/>
      <c r="GB7" s="150"/>
      <c r="GC7" s="150"/>
      <c r="GD7" s="150"/>
      <c r="GE7" s="150"/>
      <c r="GF7" s="150"/>
      <c r="GG7" s="150"/>
      <c r="GH7" s="150"/>
      <c r="GI7" s="150"/>
      <c r="GJ7" s="150"/>
      <c r="GK7" s="150"/>
      <c r="GL7" s="150"/>
      <c r="GM7" s="150"/>
      <c r="GN7" s="150"/>
      <c r="GO7" s="150"/>
      <c r="GP7" s="150"/>
      <c r="GQ7" s="150"/>
      <c r="GR7" s="150"/>
      <c r="GS7" s="150"/>
      <c r="GT7" s="150"/>
      <c r="GU7" s="150"/>
      <c r="GV7" s="150"/>
      <c r="GW7" s="150"/>
      <c r="GX7" s="150"/>
      <c r="GY7" s="150"/>
      <c r="GZ7" s="150"/>
      <c r="HA7" s="150"/>
      <c r="HB7" s="150"/>
      <c r="HC7" s="150"/>
      <c r="HD7" s="150"/>
      <c r="HE7" s="150"/>
      <c r="HF7" s="150"/>
      <c r="HG7" s="150"/>
      <c r="HH7" s="150"/>
      <c r="HI7" s="150"/>
      <c r="HJ7" s="150"/>
      <c r="HK7" s="150"/>
      <c r="HL7" s="150"/>
      <c r="HM7" s="150"/>
      <c r="HN7" s="150"/>
      <c r="HO7" s="150"/>
      <c r="HP7" s="150"/>
      <c r="HQ7" s="150"/>
      <c r="HR7" s="150"/>
      <c r="HS7" s="150"/>
      <c r="HT7" s="150"/>
      <c r="HU7" s="150"/>
      <c r="HV7" s="150"/>
      <c r="HW7" s="150"/>
      <c r="HX7" s="150"/>
      <c r="HY7" s="150"/>
      <c r="HZ7" s="150"/>
      <c r="IA7" s="150"/>
      <c r="IB7" s="150"/>
      <c r="IC7" s="150"/>
      <c r="ID7" s="150"/>
      <c r="IE7" s="150"/>
      <c r="IF7" s="150"/>
      <c r="IG7" s="150"/>
      <c r="IH7" s="150"/>
      <c r="II7" s="150"/>
      <c r="IJ7" s="150"/>
      <c r="IK7" s="150"/>
      <c r="IL7" s="150"/>
      <c r="IM7" s="150"/>
      <c r="IN7" s="150"/>
      <c r="IO7" s="150"/>
      <c r="IP7" s="150"/>
      <c r="IQ7" s="150"/>
      <c r="IR7" s="150"/>
      <c r="IS7" s="150"/>
      <c r="IT7" s="150"/>
      <c r="IU7" s="150"/>
      <c r="IV7" s="150"/>
      <c r="IW7" s="150"/>
    </row>
    <row r="8" spans="1:257" ht="15.6" x14ac:dyDescent="0.35">
      <c r="A8" s="137" t="s">
        <v>232</v>
      </c>
      <c r="B8" s="149">
        <f>((B5/1.2)*B6)*B7</f>
        <v>59791.666666666672</v>
      </c>
      <c r="D8" s="150"/>
      <c r="E8" s="150"/>
      <c r="F8" s="150"/>
      <c r="G8" s="150"/>
      <c r="H8" s="150"/>
      <c r="I8" s="150"/>
      <c r="J8" s="150"/>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c r="BH8" s="150"/>
      <c r="BI8" s="150"/>
      <c r="BJ8" s="150"/>
      <c r="BK8" s="150"/>
      <c r="BL8" s="150"/>
      <c r="BM8" s="150"/>
      <c r="BN8" s="150"/>
      <c r="BO8" s="150"/>
      <c r="BP8" s="150"/>
      <c r="BQ8" s="150"/>
      <c r="BR8" s="150"/>
      <c r="BS8" s="150"/>
      <c r="BT8" s="150"/>
      <c r="BU8" s="150"/>
      <c r="BV8" s="150"/>
      <c r="BW8" s="150"/>
      <c r="BX8" s="150"/>
      <c r="BY8" s="150"/>
      <c r="BZ8" s="150"/>
      <c r="CA8" s="150"/>
      <c r="CB8" s="150"/>
      <c r="CC8" s="150"/>
      <c r="CD8" s="150"/>
      <c r="CE8" s="150"/>
      <c r="CF8" s="150"/>
      <c r="CG8" s="150"/>
      <c r="CH8" s="150"/>
      <c r="CI8" s="150"/>
      <c r="CJ8" s="150"/>
      <c r="CK8" s="150"/>
      <c r="CL8" s="150"/>
      <c r="CM8" s="150"/>
      <c r="CN8" s="150"/>
      <c r="CO8" s="150"/>
      <c r="CP8" s="150"/>
      <c r="CQ8" s="150"/>
      <c r="CR8" s="150"/>
      <c r="CS8" s="150"/>
      <c r="CT8" s="150"/>
      <c r="CU8" s="150"/>
      <c r="CV8" s="150"/>
      <c r="CW8" s="150"/>
      <c r="CX8" s="150"/>
      <c r="CY8" s="150"/>
      <c r="CZ8" s="150"/>
      <c r="DA8" s="150"/>
      <c r="DB8" s="150"/>
      <c r="DC8" s="150"/>
      <c r="DD8" s="150"/>
      <c r="DE8" s="150"/>
      <c r="DF8" s="150"/>
      <c r="DG8" s="150"/>
      <c r="DH8" s="150"/>
      <c r="DI8" s="150"/>
      <c r="DJ8" s="150"/>
      <c r="DK8" s="150"/>
      <c r="DL8" s="150"/>
      <c r="DM8" s="150"/>
      <c r="DN8" s="150"/>
      <c r="DO8" s="150"/>
      <c r="DP8" s="150"/>
      <c r="DQ8" s="150"/>
      <c r="DR8" s="150"/>
      <c r="DS8" s="150"/>
      <c r="DT8" s="150"/>
      <c r="DU8" s="150"/>
      <c r="DV8" s="150"/>
      <c r="DW8" s="150"/>
      <c r="DX8" s="150"/>
      <c r="DY8" s="150"/>
      <c r="DZ8" s="150"/>
      <c r="EA8" s="150"/>
      <c r="EB8" s="150"/>
      <c r="EC8" s="150"/>
      <c r="ED8" s="150"/>
      <c r="EE8" s="150"/>
      <c r="EF8" s="150"/>
      <c r="EG8" s="150"/>
      <c r="EH8" s="150"/>
      <c r="EI8" s="150"/>
      <c r="EJ8" s="150"/>
      <c r="EK8" s="150"/>
      <c r="EL8" s="150"/>
      <c r="EM8" s="150"/>
      <c r="EN8" s="150"/>
      <c r="EO8" s="150"/>
      <c r="EP8" s="150"/>
      <c r="EQ8" s="150"/>
      <c r="ER8" s="150"/>
      <c r="ES8" s="150"/>
      <c r="ET8" s="150"/>
      <c r="EU8" s="150"/>
      <c r="EV8" s="150"/>
      <c r="EW8" s="150"/>
      <c r="EX8" s="150"/>
      <c r="EY8" s="150"/>
      <c r="EZ8" s="150"/>
      <c r="FA8" s="150"/>
      <c r="FB8" s="150"/>
      <c r="FC8" s="150"/>
      <c r="FD8" s="150"/>
      <c r="FE8" s="150"/>
      <c r="FF8" s="150"/>
      <c r="FG8" s="150"/>
      <c r="FH8" s="150"/>
      <c r="FI8" s="150"/>
      <c r="FJ8" s="150"/>
      <c r="FK8" s="150"/>
      <c r="FL8" s="150"/>
      <c r="FM8" s="150"/>
      <c r="FN8" s="150"/>
      <c r="FO8" s="150"/>
      <c r="FP8" s="150"/>
      <c r="FQ8" s="150"/>
      <c r="FR8" s="150"/>
      <c r="FS8" s="150"/>
      <c r="FT8" s="150"/>
      <c r="FU8" s="150"/>
      <c r="FV8" s="150"/>
      <c r="FW8" s="150"/>
      <c r="FX8" s="150"/>
      <c r="FY8" s="150"/>
      <c r="FZ8" s="150"/>
      <c r="GA8" s="150"/>
      <c r="GB8" s="150"/>
      <c r="GC8" s="150"/>
      <c r="GD8" s="150"/>
      <c r="GE8" s="150"/>
      <c r="GF8" s="150"/>
      <c r="GG8" s="150"/>
      <c r="GH8" s="150"/>
      <c r="GI8" s="150"/>
      <c r="GJ8" s="150"/>
      <c r="GK8" s="150"/>
      <c r="GL8" s="150"/>
      <c r="GM8" s="150"/>
      <c r="GN8" s="150"/>
      <c r="GO8" s="150"/>
      <c r="GP8" s="150"/>
      <c r="GQ8" s="150"/>
      <c r="GR8" s="150"/>
      <c r="GS8" s="150"/>
      <c r="GT8" s="150"/>
      <c r="GU8" s="150"/>
      <c r="GV8" s="150"/>
      <c r="GW8" s="150"/>
      <c r="GX8" s="150"/>
      <c r="GY8" s="150"/>
      <c r="GZ8" s="150"/>
      <c r="HA8" s="150"/>
      <c r="HB8" s="150"/>
      <c r="HC8" s="150"/>
      <c r="HD8" s="150"/>
      <c r="HE8" s="150"/>
      <c r="HF8" s="150"/>
      <c r="HG8" s="150"/>
      <c r="HH8" s="150"/>
      <c r="HI8" s="150"/>
      <c r="HJ8" s="150"/>
      <c r="HK8" s="150"/>
      <c r="HL8" s="150"/>
      <c r="HM8" s="150"/>
      <c r="HN8" s="150"/>
      <c r="HO8" s="150"/>
      <c r="HP8" s="150"/>
      <c r="HQ8" s="150"/>
      <c r="HR8" s="150"/>
      <c r="HS8" s="150"/>
      <c r="HT8" s="150"/>
      <c r="HU8" s="150"/>
      <c r="HV8" s="150"/>
      <c r="HW8" s="150"/>
      <c r="HX8" s="150"/>
      <c r="HY8" s="150"/>
      <c r="HZ8" s="150"/>
      <c r="IA8" s="150"/>
      <c r="IB8" s="150"/>
      <c r="IC8" s="150"/>
      <c r="ID8" s="150"/>
      <c r="IE8" s="150"/>
      <c r="IF8" s="150"/>
      <c r="IG8" s="150"/>
      <c r="IH8" s="150"/>
      <c r="II8" s="150"/>
      <c r="IJ8" s="150"/>
      <c r="IK8" s="150"/>
      <c r="IL8" s="150"/>
      <c r="IM8" s="150"/>
      <c r="IN8" s="150"/>
      <c r="IO8" s="150"/>
      <c r="IP8" s="150"/>
      <c r="IQ8" s="150"/>
      <c r="IR8" s="150"/>
      <c r="IS8" s="150"/>
      <c r="IT8" s="150"/>
      <c r="IU8" s="150"/>
      <c r="IV8" s="150"/>
      <c r="IW8" s="150"/>
    </row>
    <row r="10" spans="1:257" ht="13.2" x14ac:dyDescent="0.25">
      <c r="A10" s="111" t="s">
        <v>235</v>
      </c>
    </row>
    <row r="11" spans="1:257" ht="31.2" x14ac:dyDescent="0.25">
      <c r="A11" s="140" t="s">
        <v>236</v>
      </c>
      <c r="B11" s="131" t="s">
        <v>49</v>
      </c>
      <c r="C11" s="131" t="s">
        <v>51</v>
      </c>
      <c r="D11" s="132" t="s">
        <v>53</v>
      </c>
      <c r="E11" s="132" t="s">
        <v>55</v>
      </c>
      <c r="F11" s="132" t="s">
        <v>57</v>
      </c>
      <c r="G11" s="132" t="s">
        <v>237</v>
      </c>
    </row>
    <row r="12" spans="1:257" ht="15.6" x14ac:dyDescent="0.3">
      <c r="A12" s="140"/>
      <c r="B12" s="133" t="s">
        <v>238</v>
      </c>
      <c r="C12" s="133" t="s">
        <v>238</v>
      </c>
      <c r="D12" s="132" t="s">
        <v>238</v>
      </c>
      <c r="E12" s="132" t="s">
        <v>239</v>
      </c>
      <c r="F12" s="132" t="s">
        <v>238</v>
      </c>
      <c r="G12" s="132" t="s">
        <v>239</v>
      </c>
    </row>
    <row r="13" spans="1:257" ht="13.2" x14ac:dyDescent="0.25">
      <c r="A13" s="141" t="s">
        <v>219</v>
      </c>
      <c r="B13" s="142">
        <f>(($B$8)*'DATI di input'!B12)/1000000</f>
        <v>23.370290145361739</v>
      </c>
      <c r="C13" s="142">
        <f>(($B$8)*'DATI di input'!C12)/1000000</f>
        <v>2.1674897235124146</v>
      </c>
      <c r="D13" s="142">
        <f>(($B$8)*'DATI di input'!D12)/1000000</f>
        <v>1.0886737368485997</v>
      </c>
      <c r="E13" s="142">
        <f>(($B$8)*'DATI di input'!E12)/1000000</f>
        <v>11.965233958724326</v>
      </c>
      <c r="F13" s="142">
        <f>(($B$8)*'DATI di input'!F12)/1000000</f>
        <v>0.28663056134061082</v>
      </c>
      <c r="G13" s="142">
        <f>E13+((D13*28)/1000)+((F13*265)/1000)</f>
        <v>12.07167392211135</v>
      </c>
    </row>
    <row r="14" spans="1:257" ht="13.2" x14ac:dyDescent="0.25">
      <c r="A14" s="143" t="s">
        <v>241</v>
      </c>
      <c r="B14" s="144">
        <f t="shared" ref="B14:G14" si="0">SUM(B13)</f>
        <v>23.370290145361739</v>
      </c>
      <c r="C14" s="144">
        <f t="shared" si="0"/>
        <v>2.1674897235124146</v>
      </c>
      <c r="D14" s="144">
        <f t="shared" si="0"/>
        <v>1.0886737368485997</v>
      </c>
      <c r="E14" s="144">
        <f t="shared" si="0"/>
        <v>11.965233958724326</v>
      </c>
      <c r="F14" s="144">
        <f t="shared" si="0"/>
        <v>0.28663056134061082</v>
      </c>
      <c r="G14" s="144">
        <f t="shared" si="0"/>
        <v>12.07167392211135</v>
      </c>
    </row>
    <row r="17" spans="1:2" ht="15.6" x14ac:dyDescent="0.3">
      <c r="A17" s="60"/>
      <c r="B17" s="145" t="s">
        <v>242</v>
      </c>
    </row>
    <row r="18" spans="1:2" ht="13.2" x14ac:dyDescent="0.25">
      <c r="A18" s="60" t="s">
        <v>57</v>
      </c>
      <c r="B18" s="60">
        <v>265</v>
      </c>
    </row>
    <row r="19" spans="1:2" ht="13.2" x14ac:dyDescent="0.25">
      <c r="A19" s="60" t="s">
        <v>53</v>
      </c>
      <c r="B19" s="60">
        <v>28</v>
      </c>
    </row>
    <row r="20" spans="1:2" ht="13.2" x14ac:dyDescent="0.25">
      <c r="A20" s="60"/>
      <c r="B20" s="60"/>
    </row>
    <row r="21" spans="1:2" ht="13.2" x14ac:dyDescent="0.25">
      <c r="A21" s="146" t="s">
        <v>243</v>
      </c>
    </row>
  </sheetData>
  <mergeCells count="1">
    <mergeCell ref="A1:E1"/>
  </mergeCells>
  <hyperlinks>
    <hyperlink ref="A21" r:id="rId1"/>
  </hyperlink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34"/>
  <sheetViews>
    <sheetView zoomScale="80" zoomScaleNormal="80" workbookViewId="0">
      <selection activeCell="O27" sqref="O27"/>
    </sheetView>
  </sheetViews>
  <sheetFormatPr defaultColWidth="11.5546875" defaultRowHeight="12.75" customHeight="1" x14ac:dyDescent="0.25"/>
  <cols>
    <col min="1" max="1" width="11.5546875" style="125"/>
    <col min="17" max="17" width="15.5546875" style="41" customWidth="1"/>
  </cols>
  <sheetData>
    <row r="1" spans="1:17" s="152" customFormat="1" ht="15.6" x14ac:dyDescent="0.3">
      <c r="A1" s="152" t="s">
        <v>259</v>
      </c>
    </row>
    <row r="2" spans="1:17" ht="31.2" x14ac:dyDescent="0.25">
      <c r="A2" s="140" t="s">
        <v>236</v>
      </c>
      <c r="B2" s="131" t="s">
        <v>49</v>
      </c>
      <c r="C2" s="131" t="s">
        <v>51</v>
      </c>
      <c r="D2" s="132" t="s">
        <v>53</v>
      </c>
      <c r="E2" s="132" t="s">
        <v>55</v>
      </c>
      <c r="F2" s="132" t="s">
        <v>57</v>
      </c>
      <c r="G2" s="132" t="s">
        <v>237</v>
      </c>
    </row>
    <row r="3" spans="1:17" ht="15.6" x14ac:dyDescent="0.3">
      <c r="A3" s="140"/>
      <c r="B3" s="133" t="s">
        <v>238</v>
      </c>
      <c r="C3" s="133" t="s">
        <v>238</v>
      </c>
      <c r="D3" s="132" t="s">
        <v>238</v>
      </c>
      <c r="E3" s="132" t="s">
        <v>239</v>
      </c>
      <c r="F3" s="132" t="s">
        <v>238</v>
      </c>
      <c r="G3" s="132" t="s">
        <v>239</v>
      </c>
    </row>
    <row r="4" spans="1:17" ht="17.399999999999999" x14ac:dyDescent="0.3">
      <c r="A4" s="141" t="s">
        <v>219</v>
      </c>
      <c r="B4" s="147">
        <v>97.487496034937607</v>
      </c>
      <c r="C4" s="147">
        <v>9.0415285609375005</v>
      </c>
      <c r="D4" s="147">
        <v>4.5413247308541598</v>
      </c>
      <c r="E4" s="147">
        <v>49.912118799250003</v>
      </c>
      <c r="F4" s="147">
        <v>1.1956589130208299</v>
      </c>
      <c r="G4" s="147">
        <v>50.356125503664501</v>
      </c>
      <c r="J4" s="153" t="s">
        <v>260</v>
      </c>
      <c r="Q4" s="154" t="s">
        <v>261</v>
      </c>
    </row>
    <row r="5" spans="1:17" ht="13.2" x14ac:dyDescent="0.25">
      <c r="A5" s="141" t="s">
        <v>240</v>
      </c>
      <c r="B5" s="147">
        <v>18.048347864715499</v>
      </c>
      <c r="C5" s="147">
        <v>1.6194188555784299</v>
      </c>
      <c r="D5" s="147">
        <v>0.87231517942262904</v>
      </c>
      <c r="E5" s="147">
        <v>5.5630683097497604</v>
      </c>
      <c r="F5" s="147">
        <v>0.12628552582701399</v>
      </c>
      <c r="G5" s="147">
        <v>5.6209587991177496</v>
      </c>
    </row>
    <row r="6" spans="1:17" ht="17.399999999999999" x14ac:dyDescent="0.3">
      <c r="A6" s="143" t="s">
        <v>241</v>
      </c>
      <c r="B6" s="144">
        <v>115.535843899653</v>
      </c>
      <c r="C6" s="144">
        <v>10.660947416515899</v>
      </c>
      <c r="D6" s="144">
        <v>5.4136399102767898</v>
      </c>
      <c r="E6" s="144">
        <v>55.475187108999798</v>
      </c>
      <c r="F6" s="144">
        <v>1.3219444388478501</v>
      </c>
      <c r="G6" s="144">
        <v>55.977084302782202</v>
      </c>
      <c r="J6" s="155" t="s">
        <v>49</v>
      </c>
      <c r="K6" s="155" t="s">
        <v>51</v>
      </c>
      <c r="L6" s="156" t="s">
        <v>53</v>
      </c>
      <c r="M6" s="156" t="s">
        <v>55</v>
      </c>
      <c r="N6" s="156" t="s">
        <v>57</v>
      </c>
      <c r="O6" s="156" t="s">
        <v>237</v>
      </c>
      <c r="Q6" s="157">
        <f>'Aree pedonali e placemaking'!B6+'Aree pedonali e placemaking'!B11+'Zone 30 e interventi di moderaz'!B6+'Zone 30 e interventi di moderaz'!B11+'Percorsi ciclabili'!B6+'Strade scolastiche'!B8</f>
        <v>2669958.3333333335</v>
      </c>
    </row>
    <row r="7" spans="1:17" ht="17.399999999999999" x14ac:dyDescent="0.3">
      <c r="J7" s="158" t="s">
        <v>238</v>
      </c>
      <c r="K7" s="158" t="s">
        <v>238</v>
      </c>
      <c r="L7" s="156" t="s">
        <v>238</v>
      </c>
      <c r="M7" s="156" t="s">
        <v>239</v>
      </c>
      <c r="N7" s="156" t="s">
        <v>238</v>
      </c>
      <c r="O7" s="156" t="s">
        <v>239</v>
      </c>
      <c r="Q7" s="154"/>
    </row>
    <row r="8" spans="1:17" ht="17.399999999999999" x14ac:dyDescent="0.3">
      <c r="A8" s="152" t="s">
        <v>262</v>
      </c>
      <c r="J8" s="157">
        <f>B6+B13+B19+B25+N32</f>
        <v>1071.9618238996529</v>
      </c>
      <c r="K8" s="157">
        <f>C6+C13+C19+C25+K32</f>
        <v>102.0674862165159</v>
      </c>
      <c r="L8" s="157">
        <f>D6+D13+D19+D25</f>
        <v>50.013639910276787</v>
      </c>
      <c r="M8" s="157">
        <f>E6+E13+E19+E25</f>
        <v>541.47518710899976</v>
      </c>
      <c r="N8" s="157">
        <f>F6+F13+F19+F25</f>
        <v>12.921944438847852</v>
      </c>
      <c r="O8" s="157">
        <f>G6+G13+G19+G25+M32</f>
        <v>546.36726430278225</v>
      </c>
    </row>
    <row r="9" spans="1:17" ht="31.2" x14ac:dyDescent="0.25">
      <c r="A9" s="140" t="s">
        <v>236</v>
      </c>
      <c r="B9" s="131" t="s">
        <v>49</v>
      </c>
      <c r="C9" s="131" t="s">
        <v>51</v>
      </c>
      <c r="D9" s="132" t="s">
        <v>53</v>
      </c>
      <c r="E9" s="132" t="s">
        <v>55</v>
      </c>
      <c r="F9" s="132" t="s">
        <v>57</v>
      </c>
      <c r="G9" s="132" t="s">
        <v>237</v>
      </c>
    </row>
    <row r="10" spans="1:17" ht="15.6" x14ac:dyDescent="0.3">
      <c r="A10" s="140"/>
      <c r="B10" s="133" t="s">
        <v>238</v>
      </c>
      <c r="C10" s="133" t="s">
        <v>238</v>
      </c>
      <c r="D10" s="132" t="s">
        <v>238</v>
      </c>
      <c r="E10" s="132" t="s">
        <v>239</v>
      </c>
      <c r="F10" s="132" t="s">
        <v>238</v>
      </c>
      <c r="G10" s="132" t="s">
        <v>239</v>
      </c>
    </row>
    <row r="11" spans="1:17" ht="13.2" x14ac:dyDescent="0.25">
      <c r="A11" s="141" t="s">
        <v>219</v>
      </c>
      <c r="B11" s="147">
        <v>195</v>
      </c>
      <c r="C11" s="147">
        <v>18.100000000000001</v>
      </c>
      <c r="D11" s="147">
        <v>9.1</v>
      </c>
      <c r="E11" s="147">
        <v>99.8</v>
      </c>
      <c r="F11" s="147">
        <v>2.4</v>
      </c>
      <c r="G11" s="147">
        <v>100.7</v>
      </c>
    </row>
    <row r="12" spans="1:17" ht="13.2" x14ac:dyDescent="0.25">
      <c r="A12" s="141" t="s">
        <v>240</v>
      </c>
      <c r="B12" s="147">
        <v>18</v>
      </c>
      <c r="C12" s="147">
        <v>1.6</v>
      </c>
      <c r="D12" s="147">
        <v>0.9</v>
      </c>
      <c r="E12" s="147">
        <v>5.6</v>
      </c>
      <c r="F12" s="147">
        <v>0.1</v>
      </c>
      <c r="G12" s="147">
        <v>5.6</v>
      </c>
      <c r="I12" s="41"/>
      <c r="J12" s="41"/>
      <c r="K12" s="41"/>
    </row>
    <row r="13" spans="1:17" ht="17.399999999999999" x14ac:dyDescent="0.25">
      <c r="A13" s="143" t="s">
        <v>241</v>
      </c>
      <c r="B13" s="144">
        <v>213</v>
      </c>
      <c r="C13" s="144">
        <v>19.7</v>
      </c>
      <c r="D13" s="144">
        <v>10</v>
      </c>
      <c r="E13" s="144">
        <v>105.4</v>
      </c>
      <c r="F13" s="144">
        <v>2.5</v>
      </c>
      <c r="G13" s="144">
        <v>106.3</v>
      </c>
      <c r="I13" s="41"/>
      <c r="J13" s="159"/>
      <c r="K13" s="41"/>
    </row>
    <row r="14" spans="1:17" ht="17.399999999999999" x14ac:dyDescent="0.25">
      <c r="I14" s="41"/>
      <c r="J14" s="159"/>
      <c r="K14" s="41"/>
    </row>
    <row r="15" spans="1:17" ht="15.6" x14ac:dyDescent="0.3">
      <c r="A15" s="152" t="s">
        <v>263</v>
      </c>
      <c r="I15" s="41"/>
      <c r="J15" s="41"/>
      <c r="K15" s="41"/>
    </row>
    <row r="16" spans="1:17" ht="31.2" x14ac:dyDescent="0.25">
      <c r="A16" s="140" t="s">
        <v>236</v>
      </c>
      <c r="B16" s="131" t="s">
        <v>49</v>
      </c>
      <c r="C16" s="131" t="s">
        <v>51</v>
      </c>
      <c r="D16" s="132" t="s">
        <v>53</v>
      </c>
      <c r="E16" s="132" t="s">
        <v>55</v>
      </c>
      <c r="F16" s="132" t="s">
        <v>57</v>
      </c>
      <c r="G16" s="132" t="s">
        <v>237</v>
      </c>
    </row>
    <row r="17" spans="1:257" ht="15.6" x14ac:dyDescent="0.3">
      <c r="A17" s="140"/>
      <c r="B17" s="133" t="s">
        <v>238</v>
      </c>
      <c r="C17" s="133" t="s">
        <v>238</v>
      </c>
      <c r="D17" s="132" t="s">
        <v>238</v>
      </c>
      <c r="E17" s="132" t="s">
        <v>239</v>
      </c>
      <c r="F17" s="132" t="s">
        <v>238</v>
      </c>
      <c r="G17" s="132" t="s">
        <v>239</v>
      </c>
    </row>
    <row r="18" spans="1:257" ht="13.2" x14ac:dyDescent="0.25">
      <c r="A18" s="141" t="s">
        <v>219</v>
      </c>
      <c r="B18" s="147">
        <v>720</v>
      </c>
      <c r="C18" s="147">
        <v>66.8</v>
      </c>
      <c r="D18" s="147">
        <v>33.5</v>
      </c>
      <c r="E18" s="147">
        <v>368.6</v>
      </c>
      <c r="F18" s="147">
        <v>8.8000000000000007</v>
      </c>
      <c r="G18" s="147">
        <v>371.9</v>
      </c>
    </row>
    <row r="19" spans="1:257" ht="13.2" x14ac:dyDescent="0.25">
      <c r="A19" s="141" t="s">
        <v>241</v>
      </c>
      <c r="B19" s="144">
        <v>720</v>
      </c>
      <c r="C19" s="144">
        <v>66.8</v>
      </c>
      <c r="D19" s="144">
        <v>33.5</v>
      </c>
      <c r="E19" s="144">
        <v>368.6</v>
      </c>
      <c r="F19" s="144">
        <v>8.8000000000000007</v>
      </c>
      <c r="G19" s="144">
        <v>371.9</v>
      </c>
    </row>
    <row r="21" spans="1:257" ht="15.6" x14ac:dyDescent="0.3">
      <c r="A21" s="152" t="s">
        <v>264</v>
      </c>
    </row>
    <row r="22" spans="1:257" ht="31.2" x14ac:dyDescent="0.25">
      <c r="A22" s="140" t="s">
        <v>236</v>
      </c>
      <c r="B22" s="131" t="s">
        <v>49</v>
      </c>
      <c r="C22" s="131" t="s">
        <v>51</v>
      </c>
      <c r="D22" s="132" t="s">
        <v>53</v>
      </c>
      <c r="E22" s="132" t="s">
        <v>55</v>
      </c>
      <c r="F22" s="132" t="s">
        <v>57</v>
      </c>
      <c r="G22" s="132" t="s">
        <v>237</v>
      </c>
    </row>
    <row r="23" spans="1:257" ht="15.6" x14ac:dyDescent="0.3">
      <c r="A23" s="140"/>
      <c r="B23" s="133" t="s">
        <v>238</v>
      </c>
      <c r="C23" s="133" t="s">
        <v>238</v>
      </c>
      <c r="D23" s="132" t="s">
        <v>238</v>
      </c>
      <c r="E23" s="132" t="s">
        <v>239</v>
      </c>
      <c r="F23" s="132" t="s">
        <v>238</v>
      </c>
      <c r="G23" s="132" t="s">
        <v>239</v>
      </c>
    </row>
    <row r="24" spans="1:257" ht="13.2" x14ac:dyDescent="0.25">
      <c r="A24" s="141" t="s">
        <v>219</v>
      </c>
      <c r="B24" s="147">
        <v>23.4</v>
      </c>
      <c r="C24" s="147">
        <v>2.2000000000000002</v>
      </c>
      <c r="D24" s="147">
        <v>1.1000000000000001</v>
      </c>
      <c r="E24" s="147">
        <v>12</v>
      </c>
      <c r="F24" s="147">
        <v>0.3</v>
      </c>
      <c r="G24" s="147">
        <v>12.1</v>
      </c>
    </row>
    <row r="25" spans="1:257" ht="13.2" x14ac:dyDescent="0.25">
      <c r="A25" s="141" t="s">
        <v>241</v>
      </c>
      <c r="B25" s="144">
        <v>23.4</v>
      </c>
      <c r="C25" s="144">
        <v>2.2000000000000002</v>
      </c>
      <c r="D25" s="144">
        <v>1.1000000000000001</v>
      </c>
      <c r="E25" s="144">
        <v>12</v>
      </c>
      <c r="F25" s="144">
        <v>0.3</v>
      </c>
      <c r="G25" s="144">
        <v>12.1</v>
      </c>
    </row>
    <row r="27" spans="1:257" ht="15.6" x14ac:dyDescent="0.3">
      <c r="A27" s="152" t="s">
        <v>265</v>
      </c>
    </row>
    <row r="28" spans="1:257" ht="36.9" customHeight="1" x14ac:dyDescent="0.25">
      <c r="A28" s="2" t="s">
        <v>266</v>
      </c>
      <c r="B28" s="2"/>
      <c r="C28" s="160" t="s">
        <v>267</v>
      </c>
      <c r="D28" s="160" t="s">
        <v>268</v>
      </c>
      <c r="E28" s="160" t="s">
        <v>269</v>
      </c>
      <c r="F28" s="160" t="s">
        <v>270</v>
      </c>
      <c r="G28" s="160" t="s">
        <v>271</v>
      </c>
      <c r="H28" s="161" t="s">
        <v>272</v>
      </c>
      <c r="I28" s="161" t="s">
        <v>273</v>
      </c>
      <c r="J28" s="161" t="s">
        <v>274</v>
      </c>
      <c r="K28" s="162" t="s">
        <v>275</v>
      </c>
      <c r="L28" s="162" t="s">
        <v>276</v>
      </c>
      <c r="M28" s="162" t="s">
        <v>277</v>
      </c>
      <c r="N28" s="162" t="s">
        <v>278</v>
      </c>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c r="BM28" s="125"/>
      <c r="BN28" s="125"/>
      <c r="BO28" s="125"/>
      <c r="BP28" s="125"/>
      <c r="BQ28" s="125"/>
      <c r="BR28" s="125"/>
      <c r="BS28" s="125"/>
      <c r="BT28" s="125"/>
      <c r="BU28" s="125"/>
      <c r="BV28" s="125"/>
      <c r="BW28" s="125"/>
      <c r="BX28" s="125"/>
      <c r="BY28" s="125"/>
      <c r="BZ28" s="125"/>
      <c r="CA28" s="125"/>
      <c r="CB28" s="125"/>
      <c r="CC28" s="125"/>
      <c r="CD28" s="125"/>
      <c r="CE28" s="125"/>
      <c r="CF28" s="125"/>
      <c r="CG28" s="125"/>
      <c r="CH28" s="125"/>
      <c r="CI28" s="125"/>
      <c r="CJ28" s="125"/>
      <c r="CK28" s="125"/>
      <c r="CL28" s="125"/>
      <c r="CM28" s="125"/>
      <c r="CN28" s="125"/>
      <c r="CO28" s="125"/>
      <c r="CP28" s="125"/>
      <c r="CQ28" s="125"/>
      <c r="CR28" s="125"/>
      <c r="CS28" s="125"/>
      <c r="CT28" s="125"/>
      <c r="CU28" s="125"/>
      <c r="CV28" s="125"/>
      <c r="CW28" s="125"/>
      <c r="CX28" s="125"/>
      <c r="CY28" s="125"/>
      <c r="CZ28" s="125"/>
      <c r="DA28" s="125"/>
      <c r="DB28" s="125"/>
      <c r="DC28" s="125"/>
      <c r="DD28" s="125"/>
      <c r="DE28" s="125"/>
      <c r="DF28" s="125"/>
      <c r="DG28" s="125"/>
      <c r="DH28" s="125"/>
      <c r="DI28" s="125"/>
      <c r="DJ28" s="125"/>
      <c r="DK28" s="125"/>
      <c r="DL28" s="125"/>
      <c r="DM28" s="125"/>
      <c r="DN28" s="125"/>
      <c r="DO28" s="125"/>
      <c r="DP28" s="125"/>
      <c r="DQ28" s="125"/>
      <c r="DR28" s="125"/>
      <c r="DS28" s="125"/>
      <c r="DT28" s="125"/>
      <c r="DU28" s="125"/>
      <c r="DV28" s="125"/>
      <c r="DW28" s="125"/>
      <c r="DX28" s="125"/>
      <c r="DY28" s="125"/>
      <c r="DZ28" s="125"/>
      <c r="EA28" s="125"/>
      <c r="EB28" s="125"/>
      <c r="EC28" s="125"/>
      <c r="ED28" s="125"/>
      <c r="EE28" s="125"/>
      <c r="EF28" s="125"/>
      <c r="EG28" s="125"/>
      <c r="EH28" s="125"/>
      <c r="EI28" s="125"/>
      <c r="EJ28" s="125"/>
      <c r="EK28" s="125"/>
      <c r="EL28" s="125"/>
      <c r="EM28" s="125"/>
      <c r="EN28" s="125"/>
      <c r="EO28" s="125"/>
      <c r="EP28" s="125"/>
      <c r="EQ28" s="125"/>
      <c r="ER28" s="125"/>
      <c r="ES28" s="125"/>
      <c r="ET28" s="125"/>
      <c r="EU28" s="125"/>
      <c r="EV28" s="125"/>
      <c r="EW28" s="125"/>
      <c r="EX28" s="125"/>
      <c r="EY28" s="125"/>
      <c r="EZ28" s="125"/>
      <c r="FA28" s="125"/>
      <c r="FB28" s="125"/>
      <c r="FC28" s="125"/>
      <c r="FD28" s="125"/>
      <c r="FE28" s="125"/>
      <c r="FF28" s="125"/>
      <c r="FG28" s="125"/>
      <c r="FH28" s="125"/>
      <c r="FI28" s="125"/>
      <c r="FJ28" s="125"/>
      <c r="FK28" s="125"/>
      <c r="FL28" s="125"/>
      <c r="FM28" s="125"/>
      <c r="FN28" s="125"/>
      <c r="FO28" s="125"/>
      <c r="FP28" s="125"/>
      <c r="FQ28" s="125"/>
      <c r="FR28" s="125"/>
      <c r="FS28" s="125"/>
      <c r="FT28" s="125"/>
      <c r="FU28" s="125"/>
      <c r="FV28" s="125"/>
      <c r="FW28" s="125"/>
      <c r="FX28" s="125"/>
      <c r="FY28" s="125"/>
      <c r="FZ28" s="125"/>
      <c r="GA28" s="125"/>
      <c r="GB28" s="125"/>
      <c r="GC28" s="125"/>
      <c r="GD28" s="125"/>
      <c r="GE28" s="125"/>
      <c r="GF28" s="125"/>
      <c r="GG28" s="125"/>
      <c r="GH28" s="125"/>
      <c r="GI28" s="125"/>
      <c r="GJ28" s="125"/>
      <c r="GK28" s="125"/>
      <c r="GL28" s="125"/>
      <c r="GM28" s="125"/>
      <c r="GN28" s="125"/>
      <c r="GO28" s="125"/>
      <c r="GP28" s="125"/>
      <c r="GQ28" s="125"/>
      <c r="GR28" s="125"/>
      <c r="GS28" s="125"/>
      <c r="GT28" s="125"/>
      <c r="GU28" s="125"/>
      <c r="GV28" s="125"/>
      <c r="GW28" s="125"/>
      <c r="GX28" s="125"/>
      <c r="GY28" s="125"/>
      <c r="GZ28" s="125"/>
      <c r="HA28" s="125"/>
      <c r="HB28" s="125"/>
      <c r="HC28" s="125"/>
      <c r="HD28" s="125"/>
      <c r="HE28" s="125"/>
      <c r="HF28" s="125"/>
      <c r="HG28" s="125"/>
      <c r="HH28" s="125"/>
      <c r="HI28" s="125"/>
      <c r="HJ28" s="125"/>
      <c r="HK28" s="125"/>
      <c r="HL28" s="125"/>
      <c r="HM28" s="125"/>
      <c r="HN28" s="125"/>
      <c r="HO28" s="125"/>
      <c r="HP28" s="125"/>
      <c r="HQ28" s="125"/>
      <c r="HR28" s="125"/>
      <c r="HS28" s="125"/>
      <c r="HT28" s="125"/>
      <c r="HU28" s="125"/>
      <c r="HV28" s="125"/>
      <c r="HW28" s="125"/>
      <c r="HX28" s="125"/>
      <c r="HY28" s="125"/>
      <c r="HZ28" s="125"/>
      <c r="IA28" s="125"/>
      <c r="IB28" s="125"/>
      <c r="IC28" s="125"/>
      <c r="ID28" s="125"/>
      <c r="IE28" s="125"/>
      <c r="IF28" s="125"/>
      <c r="IG28" s="125"/>
      <c r="IH28" s="125"/>
      <c r="II28" s="125"/>
      <c r="IJ28" s="125"/>
      <c r="IK28" s="125"/>
      <c r="IL28" s="125"/>
      <c r="IM28" s="125"/>
      <c r="IN28" s="125"/>
      <c r="IO28" s="125"/>
      <c r="IP28" s="125"/>
      <c r="IQ28" s="125"/>
      <c r="IR28" s="125"/>
      <c r="IS28" s="125"/>
      <c r="IT28" s="125"/>
      <c r="IU28" s="125"/>
      <c r="IV28" s="125"/>
      <c r="IW28" s="125"/>
    </row>
    <row r="29" spans="1:257" ht="13.2" x14ac:dyDescent="0.25">
      <c r="A29" s="60" t="s">
        <v>279</v>
      </c>
      <c r="B29" s="60"/>
      <c r="C29" s="143">
        <v>65</v>
      </c>
      <c r="D29" s="143">
        <v>18767</v>
      </c>
      <c r="E29" s="143">
        <v>3134.3</v>
      </c>
      <c r="F29" s="143">
        <v>0.56999999999999995</v>
      </c>
      <c r="G29" s="143">
        <v>0.28000000000000003</v>
      </c>
      <c r="H29" s="143">
        <v>6</v>
      </c>
      <c r="I29" s="143">
        <v>10</v>
      </c>
      <c r="J29" s="143">
        <v>30</v>
      </c>
      <c r="K29" s="143">
        <f>H29*I29*D29</f>
        <v>1126020</v>
      </c>
      <c r="L29" s="143">
        <f>H29*I29*E29</f>
        <v>188058</v>
      </c>
      <c r="M29" s="143">
        <f>H29*I29*F29</f>
        <v>34.199999999999996</v>
      </c>
      <c r="N29" s="143">
        <f>I29*H29*G29</f>
        <v>16.8</v>
      </c>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c r="BM29" s="125"/>
      <c r="BN29" s="125"/>
      <c r="BO29" s="125"/>
      <c r="BP29" s="125"/>
      <c r="BQ29" s="125"/>
      <c r="BR29" s="125"/>
      <c r="BS29" s="125"/>
      <c r="BT29" s="125"/>
      <c r="BU29" s="125"/>
      <c r="BV29" s="125"/>
      <c r="BW29" s="125"/>
      <c r="BX29" s="125"/>
      <c r="BY29" s="125"/>
      <c r="BZ29" s="125"/>
      <c r="CA29" s="125"/>
      <c r="CB29" s="125"/>
      <c r="CC29" s="125"/>
      <c r="CD29" s="125"/>
      <c r="CE29" s="125"/>
      <c r="CF29" s="125"/>
      <c r="CG29" s="125"/>
      <c r="CH29" s="125"/>
      <c r="CI29" s="125"/>
      <c r="CJ29" s="125"/>
      <c r="CK29" s="125"/>
      <c r="CL29" s="125"/>
      <c r="CM29" s="125"/>
      <c r="CN29" s="125"/>
      <c r="CO29" s="125"/>
      <c r="CP29" s="125"/>
      <c r="CQ29" s="125"/>
      <c r="CR29" s="125"/>
      <c r="CS29" s="125"/>
      <c r="CT29" s="125"/>
      <c r="CU29" s="125"/>
      <c r="CV29" s="125"/>
      <c r="CW29" s="125"/>
      <c r="CX29" s="125"/>
      <c r="CY29" s="125"/>
      <c r="CZ29" s="125"/>
      <c r="DA29" s="125"/>
      <c r="DB29" s="125"/>
      <c r="DC29" s="125"/>
      <c r="DD29" s="125"/>
      <c r="DE29" s="125"/>
      <c r="DF29" s="125"/>
      <c r="DG29" s="125"/>
      <c r="DH29" s="125"/>
      <c r="DI29" s="125"/>
      <c r="DJ29" s="125"/>
      <c r="DK29" s="125"/>
      <c r="DL29" s="125"/>
      <c r="DM29" s="125"/>
      <c r="DN29" s="125"/>
      <c r="DO29" s="125"/>
      <c r="DP29" s="125"/>
      <c r="DQ29" s="125"/>
      <c r="DR29" s="125"/>
      <c r="DS29" s="125"/>
      <c r="DT29" s="125"/>
      <c r="DU29" s="125"/>
      <c r="DV29" s="125"/>
      <c r="DW29" s="125"/>
      <c r="DX29" s="125"/>
      <c r="DY29" s="125"/>
      <c r="DZ29" s="125"/>
      <c r="EA29" s="125"/>
      <c r="EB29" s="125"/>
      <c r="EC29" s="125"/>
      <c r="ED29" s="125"/>
      <c r="EE29" s="125"/>
      <c r="EF29" s="125"/>
      <c r="EG29" s="125"/>
      <c r="EH29" s="125"/>
      <c r="EI29" s="125"/>
      <c r="EJ29" s="125"/>
      <c r="EK29" s="125"/>
      <c r="EL29" s="125"/>
      <c r="EM29" s="125"/>
      <c r="EN29" s="125"/>
      <c r="EO29" s="125"/>
      <c r="EP29" s="125"/>
      <c r="EQ29" s="125"/>
      <c r="ER29" s="125"/>
      <c r="ES29" s="125"/>
      <c r="ET29" s="125"/>
      <c r="EU29" s="125"/>
      <c r="EV29" s="125"/>
      <c r="EW29" s="125"/>
      <c r="EX29" s="125"/>
      <c r="EY29" s="125"/>
      <c r="EZ29" s="125"/>
      <c r="FA29" s="125"/>
      <c r="FB29" s="125"/>
      <c r="FC29" s="125"/>
      <c r="FD29" s="125"/>
      <c r="FE29" s="125"/>
      <c r="FF29" s="125"/>
      <c r="FG29" s="125"/>
      <c r="FH29" s="125"/>
      <c r="FI29" s="125"/>
      <c r="FJ29" s="125"/>
      <c r="FK29" s="125"/>
      <c r="FL29" s="125"/>
      <c r="FM29" s="125"/>
      <c r="FN29" s="125"/>
      <c r="FO29" s="125"/>
      <c r="FP29" s="125"/>
      <c r="FQ29" s="125"/>
      <c r="FR29" s="125"/>
      <c r="FS29" s="125"/>
      <c r="FT29" s="125"/>
      <c r="FU29" s="125"/>
      <c r="FV29" s="125"/>
      <c r="FW29" s="125"/>
      <c r="FX29" s="125"/>
      <c r="FY29" s="125"/>
      <c r="FZ29" s="125"/>
      <c r="GA29" s="125"/>
      <c r="GB29" s="125"/>
      <c r="GC29" s="125"/>
      <c r="GD29" s="125"/>
      <c r="GE29" s="125"/>
      <c r="GF29" s="125"/>
      <c r="GG29" s="125"/>
      <c r="GH29" s="125"/>
      <c r="GI29" s="125"/>
      <c r="GJ29" s="125"/>
      <c r="GK29" s="125"/>
      <c r="GL29" s="125"/>
      <c r="GM29" s="125"/>
      <c r="GN29" s="125"/>
      <c r="GO29" s="125"/>
      <c r="GP29" s="125"/>
      <c r="GQ29" s="125"/>
      <c r="GR29" s="125"/>
      <c r="GS29" s="125"/>
      <c r="GT29" s="125"/>
      <c r="GU29" s="125"/>
      <c r="GV29" s="125"/>
      <c r="GW29" s="125"/>
      <c r="GX29" s="125"/>
      <c r="GY29" s="125"/>
      <c r="GZ29" s="125"/>
      <c r="HA29" s="125"/>
      <c r="HB29" s="125"/>
      <c r="HC29" s="125"/>
      <c r="HD29" s="125"/>
      <c r="HE29" s="125"/>
      <c r="HF29" s="125"/>
      <c r="HG29" s="125"/>
      <c r="HH29" s="125"/>
      <c r="HI29" s="125"/>
      <c r="HJ29" s="125"/>
      <c r="HK29" s="125"/>
      <c r="HL29" s="125"/>
      <c r="HM29" s="125"/>
      <c r="HN29" s="125"/>
      <c r="HO29" s="125"/>
      <c r="HP29" s="125"/>
      <c r="HQ29" s="125"/>
      <c r="HR29" s="125"/>
      <c r="HS29" s="125"/>
      <c r="HT29" s="125"/>
      <c r="HU29" s="125"/>
      <c r="HV29" s="125"/>
      <c r="HW29" s="125"/>
      <c r="HX29" s="125"/>
      <c r="HY29" s="125"/>
      <c r="HZ29" s="125"/>
      <c r="IA29" s="125"/>
      <c r="IB29" s="125"/>
      <c r="IC29" s="125"/>
      <c r="ID29" s="125"/>
      <c r="IE29" s="125"/>
      <c r="IF29" s="125"/>
      <c r="IG29" s="125"/>
      <c r="IH29" s="125"/>
      <c r="II29" s="125"/>
      <c r="IJ29" s="125"/>
      <c r="IK29" s="125"/>
      <c r="IL29" s="125"/>
      <c r="IM29" s="125"/>
      <c r="IN29" s="125"/>
      <c r="IO29" s="125"/>
      <c r="IP29" s="125"/>
      <c r="IQ29" s="125"/>
      <c r="IR29" s="125"/>
      <c r="IS29" s="125"/>
      <c r="IT29" s="125"/>
      <c r="IU29" s="125"/>
      <c r="IV29" s="125"/>
      <c r="IW29" s="125"/>
    </row>
    <row r="30" spans="1:257" ht="13.2" x14ac:dyDescent="0.25">
      <c r="A30" s="60" t="s">
        <v>280</v>
      </c>
      <c r="B30" s="60" t="s">
        <v>281</v>
      </c>
      <c r="C30" s="143">
        <v>38</v>
      </c>
      <c r="D30" s="143">
        <v>13154</v>
      </c>
      <c r="E30" s="143">
        <v>2174.67</v>
      </c>
      <c r="F30" s="143">
        <v>0.35</v>
      </c>
      <c r="G30" s="143"/>
      <c r="H30" s="143">
        <v>9</v>
      </c>
      <c r="I30" s="143">
        <v>8</v>
      </c>
      <c r="J30" s="143">
        <v>30</v>
      </c>
      <c r="K30" s="143">
        <f>H30*I30*D30</f>
        <v>947088</v>
      </c>
      <c r="L30" s="143">
        <f>H30*I30*E30</f>
        <v>156576.24</v>
      </c>
      <c r="M30" s="143">
        <f>H30*I30*F30</f>
        <v>25.2</v>
      </c>
      <c r="N30" s="143">
        <f>I30*H30*G30</f>
        <v>0</v>
      </c>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125"/>
      <c r="BT30" s="125"/>
      <c r="BU30" s="125"/>
      <c r="BV30" s="125"/>
      <c r="BW30" s="125"/>
      <c r="BX30" s="125"/>
      <c r="BY30" s="125"/>
      <c r="BZ30" s="125"/>
      <c r="CA30" s="125"/>
      <c r="CB30" s="125"/>
      <c r="CC30" s="125"/>
      <c r="CD30" s="125"/>
      <c r="CE30" s="125"/>
      <c r="CF30" s="125"/>
      <c r="CG30" s="125"/>
      <c r="CH30" s="125"/>
      <c r="CI30" s="125"/>
      <c r="CJ30" s="125"/>
      <c r="CK30" s="125"/>
      <c r="CL30" s="125"/>
      <c r="CM30" s="125"/>
      <c r="CN30" s="125"/>
      <c r="CO30" s="125"/>
      <c r="CP30" s="125"/>
      <c r="CQ30" s="125"/>
      <c r="CR30" s="125"/>
      <c r="CS30" s="125"/>
      <c r="CT30" s="125"/>
      <c r="CU30" s="125"/>
      <c r="CV30" s="125"/>
      <c r="CW30" s="125"/>
      <c r="CX30" s="125"/>
      <c r="CY30" s="125"/>
      <c r="CZ30" s="125"/>
      <c r="DA30" s="125"/>
      <c r="DB30" s="125"/>
      <c r="DC30" s="125"/>
      <c r="DD30" s="125"/>
      <c r="DE30" s="125"/>
      <c r="DF30" s="125"/>
      <c r="DG30" s="125"/>
      <c r="DH30" s="125"/>
      <c r="DI30" s="125"/>
      <c r="DJ30" s="125"/>
      <c r="DK30" s="125"/>
      <c r="DL30" s="125"/>
      <c r="DM30" s="125"/>
      <c r="DN30" s="125"/>
      <c r="DO30" s="125"/>
      <c r="DP30" s="125"/>
      <c r="DQ30" s="125"/>
      <c r="DR30" s="125"/>
      <c r="DS30" s="125"/>
      <c r="DT30" s="125"/>
      <c r="DU30" s="125"/>
      <c r="DV30" s="125"/>
      <c r="DW30" s="125"/>
      <c r="DX30" s="125"/>
      <c r="DY30" s="125"/>
      <c r="DZ30" s="125"/>
      <c r="EA30" s="125"/>
      <c r="EB30" s="125"/>
      <c r="EC30" s="125"/>
      <c r="ED30" s="125"/>
      <c r="EE30" s="125"/>
      <c r="EF30" s="125"/>
      <c r="EG30" s="125"/>
      <c r="EH30" s="125"/>
      <c r="EI30" s="125"/>
      <c r="EJ30" s="125"/>
      <c r="EK30" s="125"/>
      <c r="EL30" s="125"/>
      <c r="EM30" s="125"/>
      <c r="EN30" s="125"/>
      <c r="EO30" s="125"/>
      <c r="EP30" s="125"/>
      <c r="EQ30" s="125"/>
      <c r="ER30" s="125"/>
      <c r="ES30" s="125"/>
      <c r="ET30" s="125"/>
      <c r="EU30" s="125"/>
      <c r="EV30" s="125"/>
      <c r="EW30" s="125"/>
      <c r="EX30" s="125"/>
      <c r="EY30" s="125"/>
      <c r="EZ30" s="125"/>
      <c r="FA30" s="125"/>
      <c r="FB30" s="125"/>
      <c r="FC30" s="125"/>
      <c r="FD30" s="125"/>
      <c r="FE30" s="125"/>
      <c r="FF30" s="125"/>
      <c r="FG30" s="125"/>
      <c r="FH30" s="125"/>
      <c r="FI30" s="125"/>
      <c r="FJ30" s="125"/>
      <c r="FK30" s="125"/>
      <c r="FL30" s="125"/>
      <c r="FM30" s="125"/>
      <c r="FN30" s="125"/>
      <c r="FO30" s="125"/>
      <c r="FP30" s="125"/>
      <c r="FQ30" s="125"/>
      <c r="FR30" s="125"/>
      <c r="FS30" s="125"/>
      <c r="FT30" s="125"/>
      <c r="FU30" s="125"/>
      <c r="FV30" s="125"/>
      <c r="FW30" s="125"/>
      <c r="FX30" s="125"/>
      <c r="FY30" s="125"/>
      <c r="FZ30" s="125"/>
      <c r="GA30" s="125"/>
      <c r="GB30" s="125"/>
      <c r="GC30" s="125"/>
      <c r="GD30" s="125"/>
      <c r="GE30" s="125"/>
      <c r="GF30" s="125"/>
      <c r="GG30" s="125"/>
      <c r="GH30" s="125"/>
      <c r="GI30" s="125"/>
      <c r="GJ30" s="125"/>
      <c r="GK30" s="125"/>
      <c r="GL30" s="125"/>
      <c r="GM30" s="125"/>
      <c r="GN30" s="125"/>
      <c r="GO30" s="125"/>
      <c r="GP30" s="125"/>
      <c r="GQ30" s="125"/>
      <c r="GR30" s="125"/>
      <c r="GS30" s="125"/>
      <c r="GT30" s="125"/>
      <c r="GU30" s="125"/>
      <c r="GV30" s="125"/>
      <c r="GW30" s="125"/>
      <c r="GX30" s="125"/>
      <c r="GY30" s="125"/>
      <c r="GZ30" s="125"/>
      <c r="HA30" s="125"/>
      <c r="HB30" s="125"/>
      <c r="HC30" s="125"/>
      <c r="HD30" s="125"/>
      <c r="HE30" s="125"/>
      <c r="HF30" s="125"/>
      <c r="HG30" s="125"/>
      <c r="HH30" s="125"/>
      <c r="HI30" s="125"/>
      <c r="HJ30" s="125"/>
      <c r="HK30" s="125"/>
      <c r="HL30" s="125"/>
      <c r="HM30" s="125"/>
      <c r="HN30" s="125"/>
      <c r="HO30" s="125"/>
      <c r="HP30" s="125"/>
      <c r="HQ30" s="125"/>
      <c r="HR30" s="125"/>
      <c r="HS30" s="125"/>
      <c r="HT30" s="125"/>
      <c r="HU30" s="125"/>
      <c r="HV30" s="125"/>
      <c r="HW30" s="125"/>
      <c r="HX30" s="125"/>
      <c r="HY30" s="125"/>
      <c r="HZ30" s="125"/>
      <c r="IA30" s="125"/>
      <c r="IB30" s="125"/>
      <c r="IC30" s="125"/>
      <c r="ID30" s="125"/>
      <c r="IE30" s="125"/>
      <c r="IF30" s="125"/>
      <c r="IG30" s="125"/>
      <c r="IH30" s="125"/>
      <c r="II30" s="125"/>
      <c r="IJ30" s="125"/>
      <c r="IK30" s="125"/>
      <c r="IL30" s="125"/>
      <c r="IM30" s="125"/>
      <c r="IN30" s="125"/>
      <c r="IO30" s="125"/>
      <c r="IP30" s="125"/>
      <c r="IQ30" s="125"/>
      <c r="IR30" s="125"/>
      <c r="IS30" s="125"/>
      <c r="IT30" s="125"/>
      <c r="IU30" s="125"/>
      <c r="IV30" s="125"/>
      <c r="IW30" s="125"/>
    </row>
    <row r="31" spans="1:257" ht="13.2" x14ac:dyDescent="0.25">
      <c r="A31" s="60" t="s">
        <v>282</v>
      </c>
      <c r="B31" s="60" t="s">
        <v>283</v>
      </c>
      <c r="C31" s="143">
        <v>40</v>
      </c>
      <c r="D31" s="143">
        <v>11730.2</v>
      </c>
      <c r="E31" s="143">
        <v>1875.35</v>
      </c>
      <c r="F31" s="143">
        <v>0.56999999999999995</v>
      </c>
      <c r="G31" s="143">
        <v>0.17</v>
      </c>
      <c r="H31" s="143">
        <v>9</v>
      </c>
      <c r="I31" s="143">
        <v>6</v>
      </c>
      <c r="J31" s="143">
        <v>30</v>
      </c>
      <c r="K31" s="163">
        <f>H31*I31*D31</f>
        <v>633430.80000000005</v>
      </c>
      <c r="L31" s="163">
        <f>H31*I31*E31</f>
        <v>101268.9</v>
      </c>
      <c r="M31" s="163">
        <f>H31*I31*F31</f>
        <v>30.779999999999998</v>
      </c>
      <c r="N31" s="163">
        <f>I31*H31*G31</f>
        <v>9.1800000000000015</v>
      </c>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c r="CK31" s="125"/>
      <c r="CL31" s="125"/>
      <c r="CM31" s="125"/>
      <c r="CN31" s="125"/>
      <c r="CO31" s="125"/>
      <c r="CP31" s="125"/>
      <c r="CQ31" s="125"/>
      <c r="CR31" s="125"/>
      <c r="CS31" s="125"/>
      <c r="CT31" s="125"/>
      <c r="CU31" s="125"/>
      <c r="CV31" s="125"/>
      <c r="CW31" s="125"/>
      <c r="CX31" s="125"/>
      <c r="CY31" s="125"/>
      <c r="CZ31" s="125"/>
      <c r="DA31" s="125"/>
      <c r="DB31" s="125"/>
      <c r="DC31" s="125"/>
      <c r="DD31" s="125"/>
      <c r="DE31" s="125"/>
      <c r="DF31" s="125"/>
      <c r="DG31" s="125"/>
      <c r="DH31" s="125"/>
      <c r="DI31" s="125"/>
      <c r="DJ31" s="125"/>
      <c r="DK31" s="125"/>
      <c r="DL31" s="125"/>
      <c r="DM31" s="125"/>
      <c r="DN31" s="125"/>
      <c r="DO31" s="125"/>
      <c r="DP31" s="125"/>
      <c r="DQ31" s="125"/>
      <c r="DR31" s="125"/>
      <c r="DS31" s="125"/>
      <c r="DT31" s="125"/>
      <c r="DU31" s="125"/>
      <c r="DV31" s="125"/>
      <c r="DW31" s="125"/>
      <c r="DX31" s="125"/>
      <c r="DY31" s="125"/>
      <c r="DZ31" s="125"/>
      <c r="EA31" s="125"/>
      <c r="EB31" s="125"/>
      <c r="EC31" s="125"/>
      <c r="ED31" s="125"/>
      <c r="EE31" s="125"/>
      <c r="EF31" s="125"/>
      <c r="EG31" s="125"/>
      <c r="EH31" s="125"/>
      <c r="EI31" s="125"/>
      <c r="EJ31" s="125"/>
      <c r="EK31" s="125"/>
      <c r="EL31" s="125"/>
      <c r="EM31" s="125"/>
      <c r="EN31" s="125"/>
      <c r="EO31" s="125"/>
      <c r="EP31" s="125"/>
      <c r="EQ31" s="125"/>
      <c r="ER31" s="125"/>
      <c r="ES31" s="125"/>
      <c r="ET31" s="125"/>
      <c r="EU31" s="125"/>
      <c r="EV31" s="125"/>
      <c r="EW31" s="125"/>
      <c r="EX31" s="125"/>
      <c r="EY31" s="125"/>
      <c r="EZ31" s="125"/>
      <c r="FA31" s="125"/>
      <c r="FB31" s="125"/>
      <c r="FC31" s="125"/>
      <c r="FD31" s="125"/>
      <c r="FE31" s="125"/>
      <c r="FF31" s="125"/>
      <c r="FG31" s="125"/>
      <c r="FH31" s="125"/>
      <c r="FI31" s="125"/>
      <c r="FJ31" s="125"/>
      <c r="FK31" s="125"/>
      <c r="FL31" s="125"/>
      <c r="FM31" s="125"/>
      <c r="FN31" s="125"/>
      <c r="FO31" s="125"/>
      <c r="FP31" s="125"/>
      <c r="FQ31" s="125"/>
      <c r="FR31" s="125"/>
      <c r="FS31" s="125"/>
      <c r="FT31" s="125"/>
      <c r="FU31" s="125"/>
      <c r="FV31" s="125"/>
      <c r="FW31" s="125"/>
      <c r="FX31" s="125"/>
      <c r="FY31" s="125"/>
      <c r="FZ31" s="125"/>
      <c r="GA31" s="125"/>
      <c r="GB31" s="125"/>
      <c r="GC31" s="125"/>
      <c r="GD31" s="125"/>
      <c r="GE31" s="125"/>
      <c r="GF31" s="125"/>
      <c r="GG31" s="125"/>
      <c r="GH31" s="125"/>
      <c r="GI31" s="125"/>
      <c r="GJ31" s="125"/>
      <c r="GK31" s="125"/>
      <c r="GL31" s="125"/>
      <c r="GM31" s="125"/>
      <c r="GN31" s="125"/>
      <c r="GO31" s="125"/>
      <c r="GP31" s="125"/>
      <c r="GQ31" s="125"/>
      <c r="GR31" s="125"/>
      <c r="GS31" s="125"/>
      <c r="GT31" s="125"/>
      <c r="GU31" s="125"/>
      <c r="GV31" s="125"/>
      <c r="GW31" s="125"/>
      <c r="GX31" s="125"/>
      <c r="GY31" s="125"/>
      <c r="GZ31" s="125"/>
      <c r="HA31" s="125"/>
      <c r="HB31" s="125"/>
      <c r="HC31" s="125"/>
      <c r="HD31" s="125"/>
      <c r="HE31" s="125"/>
      <c r="HF31" s="125"/>
      <c r="HG31" s="125"/>
      <c r="HH31" s="125"/>
      <c r="HI31" s="125"/>
      <c r="HJ31" s="125"/>
      <c r="HK31" s="125"/>
      <c r="HL31" s="125"/>
      <c r="HM31" s="125"/>
      <c r="HN31" s="125"/>
      <c r="HO31" s="125"/>
      <c r="HP31" s="125"/>
      <c r="HQ31" s="125"/>
      <c r="HR31" s="125"/>
      <c r="HS31" s="125"/>
      <c r="HT31" s="125"/>
      <c r="HU31" s="125"/>
      <c r="HV31" s="125"/>
      <c r="HW31" s="125"/>
      <c r="HX31" s="125"/>
      <c r="HY31" s="125"/>
      <c r="HZ31" s="125"/>
      <c r="IA31" s="125"/>
      <c r="IB31" s="125"/>
      <c r="IC31" s="125"/>
      <c r="ID31" s="125"/>
      <c r="IE31" s="125"/>
      <c r="IF31" s="125"/>
      <c r="IG31" s="125"/>
      <c r="IH31" s="125"/>
      <c r="II31" s="125"/>
      <c r="IJ31" s="125"/>
      <c r="IK31" s="125"/>
      <c r="IL31" s="125"/>
      <c r="IM31" s="125"/>
      <c r="IN31" s="125"/>
      <c r="IO31" s="125"/>
      <c r="IP31" s="125"/>
      <c r="IQ31" s="125"/>
      <c r="IR31" s="125"/>
      <c r="IS31" s="125"/>
      <c r="IT31" s="125"/>
      <c r="IU31" s="125"/>
      <c r="IV31" s="125"/>
      <c r="IW31" s="125"/>
    </row>
    <row r="32" spans="1:257" ht="13.2" x14ac:dyDescent="0.25">
      <c r="A32" s="1" t="s">
        <v>284</v>
      </c>
      <c r="B32" s="1"/>
      <c r="C32" s="1"/>
      <c r="D32" s="1"/>
      <c r="E32" s="1"/>
      <c r="F32" s="1"/>
      <c r="G32" s="1"/>
      <c r="H32" s="1"/>
      <c r="I32" s="1"/>
      <c r="J32" s="1"/>
      <c r="K32" s="164">
        <f>SUM(K29:K31)/1000000</f>
        <v>2.7065387999999997</v>
      </c>
      <c r="L32" s="164">
        <f>SUM(L29:L31)/1000000</f>
        <v>0.44590314000000003</v>
      </c>
      <c r="M32" s="164">
        <f>SUM(M29:M31)/1000</f>
        <v>9.0179999999999996E-2</v>
      </c>
      <c r="N32" s="164">
        <f>SUM(N29:N31)/1000</f>
        <v>2.5980000000000003E-2</v>
      </c>
    </row>
    <row r="34" spans="1:1" ht="13.2" x14ac:dyDescent="0.25">
      <c r="A34" s="111" t="s">
        <v>285</v>
      </c>
    </row>
  </sheetData>
  <mergeCells count="2">
    <mergeCell ref="A28:B28"/>
    <mergeCell ref="A32:J32"/>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zoomScale="80" zoomScaleNormal="80" workbookViewId="0">
      <selection activeCell="E3" sqref="E3"/>
    </sheetView>
  </sheetViews>
  <sheetFormatPr defaultColWidth="11.5546875" defaultRowHeight="12.75" customHeight="1" x14ac:dyDescent="0.25"/>
  <cols>
    <col min="1" max="1" width="22" style="41" customWidth="1"/>
    <col min="2" max="2" width="14.88671875" style="41" customWidth="1"/>
    <col min="9" max="9" width="12.5546875" style="41" customWidth="1"/>
  </cols>
  <sheetData>
    <row r="1" spans="1:19" ht="16.2" x14ac:dyDescent="0.3">
      <c r="A1" s="11" t="s">
        <v>39</v>
      </c>
      <c r="B1" s="12"/>
      <c r="C1" s="13"/>
      <c r="D1" s="13"/>
      <c r="E1" s="13"/>
      <c r="F1" s="13"/>
      <c r="G1" s="13"/>
      <c r="H1" s="13"/>
      <c r="I1" s="13"/>
      <c r="J1" s="13"/>
      <c r="K1" s="13"/>
      <c r="L1" s="13"/>
      <c r="M1" s="13"/>
      <c r="N1" s="13"/>
      <c r="O1" s="13"/>
      <c r="P1" s="13"/>
      <c r="Q1" s="13"/>
      <c r="R1" s="13"/>
      <c r="S1" s="12"/>
    </row>
    <row r="2" spans="1:19" ht="13.2" x14ac:dyDescent="0.25">
      <c r="A2" s="12"/>
      <c r="B2" s="12"/>
      <c r="C2" s="13"/>
      <c r="D2" s="13"/>
      <c r="E2" s="13"/>
      <c r="F2" s="13"/>
      <c r="G2" s="13"/>
      <c r="H2" s="13"/>
      <c r="I2" s="13"/>
      <c r="J2" s="13"/>
      <c r="K2" s="13"/>
      <c r="L2" s="13"/>
      <c r="M2" s="13"/>
      <c r="N2" s="13"/>
      <c r="O2" s="13"/>
      <c r="P2" s="13"/>
      <c r="Q2" s="13"/>
      <c r="R2" s="13"/>
      <c r="S2" s="12"/>
    </row>
    <row r="3" spans="1:19" ht="45.6" x14ac:dyDescent="0.25">
      <c r="A3" s="42" t="s">
        <v>1</v>
      </c>
      <c r="B3" s="42" t="s">
        <v>40</v>
      </c>
      <c r="E3" s="29" t="s">
        <v>3</v>
      </c>
      <c r="F3" s="30" t="s">
        <v>22</v>
      </c>
      <c r="G3" s="30" t="s">
        <v>27</v>
      </c>
      <c r="H3" s="30" t="s">
        <v>28</v>
      </c>
      <c r="I3" s="30" t="s">
        <v>29</v>
      </c>
      <c r="J3" s="30" t="s">
        <v>30</v>
      </c>
      <c r="K3" s="30" t="s">
        <v>31</v>
      </c>
      <c r="L3" s="30" t="s">
        <v>32</v>
      </c>
      <c r="M3" s="30" t="s">
        <v>33</v>
      </c>
      <c r="N3" s="30" t="s">
        <v>34</v>
      </c>
      <c r="O3" s="30" t="s">
        <v>35</v>
      </c>
      <c r="P3" s="30" t="s">
        <v>36</v>
      </c>
      <c r="Q3" s="31" t="s">
        <v>26</v>
      </c>
    </row>
    <row r="4" spans="1:19" ht="13.2" x14ac:dyDescent="0.25">
      <c r="A4" s="42" t="s">
        <v>2</v>
      </c>
      <c r="B4" s="42" t="s">
        <v>41</v>
      </c>
      <c r="E4" s="29" t="s">
        <v>4</v>
      </c>
      <c r="F4" s="38"/>
      <c r="G4" s="38"/>
      <c r="H4" s="38"/>
      <c r="I4" s="38"/>
      <c r="J4" s="38"/>
      <c r="K4" s="38"/>
      <c r="L4" s="38"/>
      <c r="M4" s="38"/>
      <c r="N4" s="38"/>
      <c r="O4" s="38"/>
      <c r="P4" s="38"/>
      <c r="Q4" s="39"/>
    </row>
    <row r="5" spans="1:19" ht="13.2" x14ac:dyDescent="0.25">
      <c r="A5" s="42" t="s">
        <v>42</v>
      </c>
      <c r="B5" s="43" t="s">
        <v>43</v>
      </c>
      <c r="E5" s="29" t="s">
        <v>5</v>
      </c>
      <c r="F5" s="40">
        <v>0.85960000000000003</v>
      </c>
      <c r="G5" s="40">
        <v>3.09E-2</v>
      </c>
      <c r="H5" s="40">
        <v>8.9999999999999998E-4</v>
      </c>
      <c r="I5" s="40">
        <v>0</v>
      </c>
      <c r="J5" s="40">
        <v>0.1082</v>
      </c>
      <c r="K5" s="40">
        <v>0</v>
      </c>
      <c r="L5" s="40">
        <v>0</v>
      </c>
      <c r="M5" s="40">
        <v>0</v>
      </c>
      <c r="N5" s="40">
        <v>0</v>
      </c>
      <c r="O5" s="40">
        <v>4.0000000000000002E-4</v>
      </c>
      <c r="P5" s="40">
        <v>0</v>
      </c>
      <c r="Q5" s="40">
        <v>1</v>
      </c>
    </row>
    <row r="6" spans="1:19" ht="13.2" x14ac:dyDescent="0.25">
      <c r="A6" s="42" t="s">
        <v>5</v>
      </c>
      <c r="B6" s="43">
        <v>837</v>
      </c>
      <c r="E6" s="29" t="s">
        <v>6</v>
      </c>
      <c r="F6" s="40">
        <v>0.84630000000000005</v>
      </c>
      <c r="G6" s="40">
        <v>4.7399999999999998E-2</v>
      </c>
      <c r="H6" s="40">
        <v>3.5999999999999999E-3</v>
      </c>
      <c r="I6" s="40">
        <v>0</v>
      </c>
      <c r="J6" s="40">
        <v>0.1027</v>
      </c>
      <c r="K6" s="40">
        <v>0</v>
      </c>
      <c r="L6" s="40">
        <v>0</v>
      </c>
      <c r="M6" s="40">
        <v>0</v>
      </c>
      <c r="N6" s="40">
        <v>0</v>
      </c>
      <c r="O6" s="40">
        <v>0</v>
      </c>
      <c r="P6" s="40">
        <v>0</v>
      </c>
      <c r="Q6" s="40">
        <v>1</v>
      </c>
    </row>
    <row r="7" spans="1:19" ht="13.2" x14ac:dyDescent="0.25">
      <c r="A7" s="42" t="s">
        <v>6</v>
      </c>
      <c r="B7" s="43">
        <v>168</v>
      </c>
      <c r="E7" s="29" t="s">
        <v>7</v>
      </c>
      <c r="F7" s="40">
        <v>0.78769999999999996</v>
      </c>
      <c r="G7" s="40">
        <v>2.7099999999999999E-2</v>
      </c>
      <c r="H7" s="40">
        <v>1.2999999999999999E-3</v>
      </c>
      <c r="I7" s="40">
        <v>0</v>
      </c>
      <c r="J7" s="40">
        <v>0.18390000000000001</v>
      </c>
      <c r="K7" s="40">
        <v>0</v>
      </c>
      <c r="L7" s="40">
        <v>0</v>
      </c>
      <c r="M7" s="40">
        <v>0</v>
      </c>
      <c r="N7" s="40">
        <v>0</v>
      </c>
      <c r="O7" s="40">
        <v>0</v>
      </c>
      <c r="P7" s="40">
        <v>0</v>
      </c>
      <c r="Q7" s="40">
        <v>1</v>
      </c>
    </row>
    <row r="8" spans="1:19" ht="13.2" x14ac:dyDescent="0.25">
      <c r="A8" s="42" t="s">
        <v>7</v>
      </c>
      <c r="B8" s="43">
        <v>415</v>
      </c>
      <c r="E8" s="29" t="s">
        <v>8</v>
      </c>
      <c r="F8" s="40">
        <v>0.59150000000000003</v>
      </c>
      <c r="G8" s="40">
        <v>1.0999999999999999E-2</v>
      </c>
      <c r="H8" s="40">
        <v>1.2999999999999999E-3</v>
      </c>
      <c r="I8" s="40">
        <v>0</v>
      </c>
      <c r="J8" s="40">
        <v>0.39629999999999999</v>
      </c>
      <c r="K8" s="40">
        <v>0</v>
      </c>
      <c r="L8" s="40">
        <v>0</v>
      </c>
      <c r="M8" s="40">
        <v>0</v>
      </c>
      <c r="N8" s="40">
        <v>0</v>
      </c>
      <c r="O8" s="40">
        <v>0</v>
      </c>
      <c r="P8" s="40">
        <v>0</v>
      </c>
      <c r="Q8" s="40">
        <v>1</v>
      </c>
    </row>
    <row r="9" spans="1:19" ht="13.2" x14ac:dyDescent="0.25">
      <c r="A9" s="42" t="s">
        <v>8</v>
      </c>
      <c r="B9" s="43">
        <v>689</v>
      </c>
      <c r="E9" s="29" t="s">
        <v>9</v>
      </c>
      <c r="F9" s="40">
        <v>0.60899999999999999</v>
      </c>
      <c r="G9" s="40">
        <v>6.2899999999999998E-2</v>
      </c>
      <c r="H9" s="40">
        <v>5.5999999999999999E-3</v>
      </c>
      <c r="I9" s="40">
        <v>0</v>
      </c>
      <c r="J9" s="40">
        <v>0.32190000000000002</v>
      </c>
      <c r="K9" s="40">
        <v>2.9999999999999997E-4</v>
      </c>
      <c r="L9" s="40">
        <v>0</v>
      </c>
      <c r="M9" s="40">
        <v>0</v>
      </c>
      <c r="N9" s="40">
        <v>2.0000000000000001E-4</v>
      </c>
      <c r="O9" s="40">
        <v>0</v>
      </c>
      <c r="P9" s="40">
        <v>0</v>
      </c>
      <c r="Q9" s="40">
        <v>1</v>
      </c>
    </row>
    <row r="10" spans="1:19" ht="13.2" x14ac:dyDescent="0.25">
      <c r="A10" s="42" t="s">
        <v>9</v>
      </c>
      <c r="B10" s="43">
        <v>2148</v>
      </c>
      <c r="E10" s="29" t="s">
        <v>10</v>
      </c>
      <c r="F10" s="40">
        <v>0.49099999999999999</v>
      </c>
      <c r="G10" s="40">
        <v>4.0300000000000002E-2</v>
      </c>
      <c r="H10" s="40">
        <v>6.4000000000000003E-3</v>
      </c>
      <c r="I10" s="40">
        <v>0</v>
      </c>
      <c r="J10" s="40">
        <v>0.45800000000000002</v>
      </c>
      <c r="K10" s="40">
        <v>3.0999999999999999E-3</v>
      </c>
      <c r="L10" s="40">
        <v>1E-4</v>
      </c>
      <c r="M10" s="40">
        <v>0</v>
      </c>
      <c r="N10" s="40">
        <v>1.1000000000000001E-3</v>
      </c>
      <c r="O10" s="40">
        <v>0</v>
      </c>
      <c r="P10" s="40">
        <v>0</v>
      </c>
      <c r="Q10" s="40">
        <v>1</v>
      </c>
    </row>
    <row r="11" spans="1:19" ht="13.2" x14ac:dyDescent="0.25">
      <c r="A11" s="42" t="s">
        <v>10</v>
      </c>
      <c r="B11" s="43">
        <v>1816</v>
      </c>
      <c r="E11" s="29" t="s">
        <v>11</v>
      </c>
      <c r="F11" s="40">
        <v>0.217</v>
      </c>
      <c r="G11" s="40">
        <v>3.9899999999999998E-2</v>
      </c>
      <c r="H11" s="40">
        <v>3.3E-3</v>
      </c>
      <c r="I11" s="40">
        <v>0</v>
      </c>
      <c r="J11" s="40">
        <v>0.73140000000000005</v>
      </c>
      <c r="K11" s="40">
        <v>5.8999999999999999E-3</v>
      </c>
      <c r="L11" s="40">
        <v>0</v>
      </c>
      <c r="M11" s="40">
        <v>1.5E-3</v>
      </c>
      <c r="N11" s="40">
        <v>1.1000000000000001E-3</v>
      </c>
      <c r="O11" s="40">
        <v>0</v>
      </c>
      <c r="P11" s="40">
        <v>0</v>
      </c>
      <c r="Q11" s="40">
        <v>1</v>
      </c>
    </row>
    <row r="12" spans="1:19" ht="13.2" x14ac:dyDescent="0.25">
      <c r="A12" s="42" t="s">
        <v>11</v>
      </c>
      <c r="B12" s="43">
        <v>309</v>
      </c>
      <c r="E12" s="29" t="s">
        <v>12</v>
      </c>
      <c r="F12" s="40">
        <v>0.45910000000000001</v>
      </c>
      <c r="G12" s="40">
        <v>4.5100000000000001E-2</v>
      </c>
      <c r="H12" s="40">
        <v>1.6999999999999999E-3</v>
      </c>
      <c r="I12" s="40">
        <v>0</v>
      </c>
      <c r="J12" s="40">
        <v>0.27039999999999997</v>
      </c>
      <c r="K12" s="40">
        <v>0.2051</v>
      </c>
      <c r="L12" s="40">
        <v>0</v>
      </c>
      <c r="M12" s="40">
        <v>1.6400000000000001E-2</v>
      </c>
      <c r="N12" s="40">
        <v>2.2000000000000001E-3</v>
      </c>
      <c r="O12" s="40">
        <v>0</v>
      </c>
      <c r="P12" s="40">
        <v>0</v>
      </c>
      <c r="Q12" s="40">
        <v>1</v>
      </c>
    </row>
    <row r="13" spans="1:19" ht="13.2" x14ac:dyDescent="0.25">
      <c r="A13" s="42" t="s">
        <v>12</v>
      </c>
      <c r="B13" s="43">
        <v>4809</v>
      </c>
      <c r="E13" s="29" t="s">
        <v>13</v>
      </c>
      <c r="F13" s="40">
        <v>0.33329999999999999</v>
      </c>
      <c r="G13" s="40">
        <v>0</v>
      </c>
      <c r="H13" s="40">
        <v>0</v>
      </c>
      <c r="I13" s="40">
        <v>0</v>
      </c>
      <c r="J13" s="40">
        <v>0.33329999999999999</v>
      </c>
      <c r="K13" s="40">
        <v>0</v>
      </c>
      <c r="L13" s="40">
        <v>0</v>
      </c>
      <c r="M13" s="40">
        <v>0</v>
      </c>
      <c r="N13" s="40">
        <v>0.33329999999999999</v>
      </c>
      <c r="O13" s="40">
        <v>0</v>
      </c>
      <c r="P13" s="40">
        <v>0</v>
      </c>
      <c r="Q13" s="40">
        <v>1</v>
      </c>
    </row>
    <row r="14" spans="1:19" ht="13.2" x14ac:dyDescent="0.25">
      <c r="A14" s="42" t="s">
        <v>13</v>
      </c>
      <c r="B14" s="43"/>
      <c r="E14" s="29" t="s">
        <v>14</v>
      </c>
      <c r="F14" s="40">
        <v>0.3372</v>
      </c>
      <c r="G14" s="40">
        <v>2.3800000000000002E-2</v>
      </c>
      <c r="H14" s="40">
        <v>5.1999999999999998E-3</v>
      </c>
      <c r="I14" s="40">
        <v>0</v>
      </c>
      <c r="J14" s="40">
        <v>0.6119</v>
      </c>
      <c r="K14" s="40">
        <v>2.01E-2</v>
      </c>
      <c r="L14" s="40">
        <v>0</v>
      </c>
      <c r="M14" s="40">
        <v>2.0000000000000001E-4</v>
      </c>
      <c r="N14" s="40">
        <v>1.2999999999999999E-3</v>
      </c>
      <c r="O14" s="40">
        <v>0</v>
      </c>
      <c r="P14" s="40">
        <v>2.0000000000000001E-4</v>
      </c>
      <c r="Q14" s="40">
        <v>1</v>
      </c>
    </row>
    <row r="15" spans="1:19" ht="13.2" x14ac:dyDescent="0.25">
      <c r="A15" s="42" t="s">
        <v>14</v>
      </c>
      <c r="B15" s="43">
        <v>690</v>
      </c>
      <c r="E15" s="29" t="s">
        <v>15</v>
      </c>
      <c r="F15" s="40">
        <v>0.46379999999999999</v>
      </c>
      <c r="G15" s="40">
        <v>1.34E-2</v>
      </c>
      <c r="H15" s="40">
        <v>0</v>
      </c>
      <c r="I15" s="40">
        <v>0</v>
      </c>
      <c r="J15" s="40">
        <v>0.37</v>
      </c>
      <c r="K15" s="40">
        <v>0.15279999999999999</v>
      </c>
      <c r="L15" s="40">
        <v>0</v>
      </c>
      <c r="M15" s="40">
        <v>0</v>
      </c>
      <c r="N15" s="40">
        <v>0</v>
      </c>
      <c r="O15" s="40">
        <v>0</v>
      </c>
      <c r="P15" s="40">
        <v>0</v>
      </c>
      <c r="Q15" s="40">
        <v>1</v>
      </c>
    </row>
    <row r="16" spans="1:19" ht="13.2" x14ac:dyDescent="0.25">
      <c r="A16" s="42" t="s">
        <v>15</v>
      </c>
      <c r="B16" s="43">
        <v>37</v>
      </c>
      <c r="E16" s="29" t="s">
        <v>16</v>
      </c>
      <c r="F16" s="40">
        <v>0</v>
      </c>
      <c r="G16" s="40">
        <v>0</v>
      </c>
      <c r="H16" s="40">
        <v>0</v>
      </c>
      <c r="I16" s="40">
        <v>0</v>
      </c>
      <c r="J16" s="40">
        <v>1</v>
      </c>
      <c r="K16" s="40">
        <v>0</v>
      </c>
      <c r="L16" s="40">
        <v>0</v>
      </c>
      <c r="M16" s="40">
        <v>0</v>
      </c>
      <c r="N16" s="40">
        <v>0</v>
      </c>
      <c r="O16" s="40">
        <v>0</v>
      </c>
      <c r="P16" s="40">
        <v>0</v>
      </c>
      <c r="Q16" s="40">
        <v>1</v>
      </c>
    </row>
    <row r="17" spans="1:17" ht="13.2" x14ac:dyDescent="0.25">
      <c r="A17" s="42" t="s">
        <v>16</v>
      </c>
      <c r="B17" s="43"/>
      <c r="E17" s="29" t="s">
        <v>17</v>
      </c>
      <c r="F17" s="40">
        <v>0</v>
      </c>
      <c r="G17" s="40">
        <v>0</v>
      </c>
      <c r="H17" s="40">
        <v>0</v>
      </c>
      <c r="I17" s="40">
        <v>0</v>
      </c>
      <c r="J17" s="40">
        <v>1</v>
      </c>
      <c r="K17" s="40">
        <v>0</v>
      </c>
      <c r="L17" s="40">
        <v>0</v>
      </c>
      <c r="M17" s="40">
        <v>0</v>
      </c>
      <c r="N17" s="40">
        <v>0</v>
      </c>
      <c r="O17" s="40">
        <v>0</v>
      </c>
      <c r="P17" s="40">
        <v>0</v>
      </c>
      <c r="Q17" s="40">
        <v>1</v>
      </c>
    </row>
    <row r="18" spans="1:17" ht="14.25" customHeight="1" x14ac:dyDescent="0.25">
      <c r="A18" s="42" t="s">
        <v>17</v>
      </c>
      <c r="B18" s="43"/>
      <c r="E18" s="29" t="s">
        <v>18</v>
      </c>
      <c r="F18" s="40">
        <v>0</v>
      </c>
      <c r="G18" s="40">
        <v>0</v>
      </c>
      <c r="H18" s="40">
        <v>0</v>
      </c>
      <c r="I18" s="40">
        <v>1</v>
      </c>
      <c r="J18" s="40">
        <v>0</v>
      </c>
      <c r="K18" s="40">
        <v>0</v>
      </c>
      <c r="L18" s="40">
        <v>0</v>
      </c>
      <c r="M18" s="40">
        <v>0</v>
      </c>
      <c r="N18" s="40">
        <v>0</v>
      </c>
      <c r="O18" s="40">
        <v>0</v>
      </c>
      <c r="P18" s="40">
        <v>0</v>
      </c>
      <c r="Q18" s="40">
        <v>1</v>
      </c>
    </row>
    <row r="19" spans="1:17" ht="18" customHeight="1" x14ac:dyDescent="0.25">
      <c r="A19" s="42" t="s">
        <v>18</v>
      </c>
      <c r="B19" s="43">
        <v>54</v>
      </c>
      <c r="E19" s="29" t="s">
        <v>19</v>
      </c>
      <c r="F19" s="40">
        <v>1</v>
      </c>
      <c r="G19" s="40">
        <v>0</v>
      </c>
      <c r="H19" s="40">
        <v>0</v>
      </c>
      <c r="I19" s="40">
        <v>0</v>
      </c>
      <c r="J19" s="40">
        <v>0</v>
      </c>
      <c r="K19" s="40">
        <v>0</v>
      </c>
      <c r="L19" s="40">
        <v>0</v>
      </c>
      <c r="M19" s="40">
        <v>0</v>
      </c>
      <c r="N19" s="40">
        <v>0</v>
      </c>
      <c r="O19" s="40">
        <v>0</v>
      </c>
      <c r="P19" s="40">
        <v>0</v>
      </c>
      <c r="Q19" s="40">
        <v>1</v>
      </c>
    </row>
    <row r="20" spans="1:17" ht="17.399999999999999" customHeight="1" x14ac:dyDescent="0.25">
      <c r="A20" s="42" t="s">
        <v>19</v>
      </c>
      <c r="B20" s="43"/>
    </row>
    <row r="21" spans="1:17" ht="45.6" x14ac:dyDescent="0.25">
      <c r="A21" s="42" t="s">
        <v>20</v>
      </c>
      <c r="B21" s="42">
        <v>11972</v>
      </c>
      <c r="E21" s="29" t="s">
        <v>3</v>
      </c>
      <c r="F21" s="30" t="s">
        <v>22</v>
      </c>
      <c r="G21" s="30" t="s">
        <v>27</v>
      </c>
      <c r="H21" s="30" t="s">
        <v>28</v>
      </c>
      <c r="I21" s="30" t="s">
        <v>29</v>
      </c>
      <c r="J21" s="30" t="s">
        <v>30</v>
      </c>
      <c r="K21" s="30" t="s">
        <v>31</v>
      </c>
      <c r="L21" s="30" t="s">
        <v>32</v>
      </c>
      <c r="M21" s="30" t="s">
        <v>33</v>
      </c>
      <c r="N21" s="30" t="s">
        <v>34</v>
      </c>
      <c r="O21" s="30" t="s">
        <v>35</v>
      </c>
      <c r="P21" s="30" t="s">
        <v>36</v>
      </c>
      <c r="Q21" s="31" t="s">
        <v>26</v>
      </c>
    </row>
    <row r="22" spans="1:17" ht="13.2" x14ac:dyDescent="0.25">
      <c r="E22" s="29" t="s">
        <v>4</v>
      </c>
      <c r="F22" s="44"/>
      <c r="G22" s="44"/>
      <c r="H22" s="44"/>
      <c r="I22" s="44"/>
      <c r="J22" s="44"/>
      <c r="K22" s="44"/>
      <c r="L22" s="44"/>
      <c r="M22" s="44"/>
      <c r="N22" s="44"/>
      <c r="O22" s="44"/>
      <c r="P22" s="44"/>
      <c r="Q22" s="39"/>
    </row>
    <row r="23" spans="1:17" ht="13.2" x14ac:dyDescent="0.25">
      <c r="E23" s="29" t="s">
        <v>5</v>
      </c>
      <c r="F23" s="45">
        <f t="shared" ref="F23:P23" si="0">$B$6*F5</f>
        <v>719.48520000000008</v>
      </c>
      <c r="G23" s="45">
        <f t="shared" si="0"/>
        <v>25.863299999999999</v>
      </c>
      <c r="H23" s="45">
        <f t="shared" si="0"/>
        <v>0.75329999999999997</v>
      </c>
      <c r="I23" s="45">
        <f t="shared" si="0"/>
        <v>0</v>
      </c>
      <c r="J23" s="45">
        <f t="shared" si="0"/>
        <v>90.563400000000001</v>
      </c>
      <c r="K23" s="45">
        <f t="shared" si="0"/>
        <v>0</v>
      </c>
      <c r="L23" s="45">
        <f t="shared" si="0"/>
        <v>0</v>
      </c>
      <c r="M23" s="45">
        <f t="shared" si="0"/>
        <v>0</v>
      </c>
      <c r="N23" s="45">
        <f t="shared" si="0"/>
        <v>0</v>
      </c>
      <c r="O23" s="45">
        <f t="shared" si="0"/>
        <v>0.33480000000000004</v>
      </c>
      <c r="P23" s="45">
        <f t="shared" si="0"/>
        <v>0</v>
      </c>
      <c r="Q23" s="46">
        <f>SUM(F23:P23)</f>
        <v>837</v>
      </c>
    </row>
    <row r="24" spans="1:17" ht="13.2" x14ac:dyDescent="0.25">
      <c r="E24" s="29" t="s">
        <v>6</v>
      </c>
      <c r="F24" s="45">
        <f t="shared" ref="F24:Q24" si="1">$B$7*F6</f>
        <v>142.17840000000001</v>
      </c>
      <c r="G24" s="45">
        <f t="shared" si="1"/>
        <v>7.9631999999999996</v>
      </c>
      <c r="H24" s="45">
        <f t="shared" si="1"/>
        <v>0.6048</v>
      </c>
      <c r="I24" s="45">
        <f t="shared" si="1"/>
        <v>0</v>
      </c>
      <c r="J24" s="45">
        <f t="shared" si="1"/>
        <v>17.253599999999999</v>
      </c>
      <c r="K24" s="45">
        <f t="shared" si="1"/>
        <v>0</v>
      </c>
      <c r="L24" s="45">
        <f t="shared" si="1"/>
        <v>0</v>
      </c>
      <c r="M24" s="45">
        <f t="shared" si="1"/>
        <v>0</v>
      </c>
      <c r="N24" s="45">
        <f t="shared" si="1"/>
        <v>0</v>
      </c>
      <c r="O24" s="45">
        <f t="shared" si="1"/>
        <v>0</v>
      </c>
      <c r="P24" s="45">
        <f t="shared" si="1"/>
        <v>0</v>
      </c>
      <c r="Q24" s="46">
        <f t="shared" si="1"/>
        <v>168</v>
      </c>
    </row>
    <row r="25" spans="1:17" ht="13.2" x14ac:dyDescent="0.25">
      <c r="E25" s="29" t="s">
        <v>7</v>
      </c>
      <c r="F25" s="45">
        <f t="shared" ref="F25:Q25" si="2">$B$8*F7</f>
        <v>326.89549999999997</v>
      </c>
      <c r="G25" s="45">
        <f t="shared" si="2"/>
        <v>11.246499999999999</v>
      </c>
      <c r="H25" s="45">
        <f t="shared" si="2"/>
        <v>0.53949999999999998</v>
      </c>
      <c r="I25" s="45">
        <f t="shared" si="2"/>
        <v>0</v>
      </c>
      <c r="J25" s="45">
        <f t="shared" si="2"/>
        <v>76.3185</v>
      </c>
      <c r="K25" s="45">
        <f t="shared" si="2"/>
        <v>0</v>
      </c>
      <c r="L25" s="45">
        <f t="shared" si="2"/>
        <v>0</v>
      </c>
      <c r="M25" s="45">
        <f t="shared" si="2"/>
        <v>0</v>
      </c>
      <c r="N25" s="45">
        <f t="shared" si="2"/>
        <v>0</v>
      </c>
      <c r="O25" s="45">
        <f t="shared" si="2"/>
        <v>0</v>
      </c>
      <c r="P25" s="45">
        <f t="shared" si="2"/>
        <v>0</v>
      </c>
      <c r="Q25" s="46">
        <f t="shared" si="2"/>
        <v>415</v>
      </c>
    </row>
    <row r="26" spans="1:17" ht="13.2" x14ac:dyDescent="0.25">
      <c r="E26" s="29" t="s">
        <v>8</v>
      </c>
      <c r="F26" s="45">
        <f t="shared" ref="F26:Q26" si="3">$B$9*F8</f>
        <v>407.54349999999999</v>
      </c>
      <c r="G26" s="45">
        <f t="shared" si="3"/>
        <v>7.5789999999999997</v>
      </c>
      <c r="H26" s="45">
        <f t="shared" si="3"/>
        <v>0.89569999999999994</v>
      </c>
      <c r="I26" s="45">
        <f t="shared" si="3"/>
        <v>0</v>
      </c>
      <c r="J26" s="45">
        <f t="shared" si="3"/>
        <v>273.05070000000001</v>
      </c>
      <c r="K26" s="45">
        <f t="shared" si="3"/>
        <v>0</v>
      </c>
      <c r="L26" s="45">
        <f t="shared" si="3"/>
        <v>0</v>
      </c>
      <c r="M26" s="45">
        <f t="shared" si="3"/>
        <v>0</v>
      </c>
      <c r="N26" s="45">
        <f t="shared" si="3"/>
        <v>0</v>
      </c>
      <c r="O26" s="45">
        <f t="shared" si="3"/>
        <v>0</v>
      </c>
      <c r="P26" s="45">
        <f t="shared" si="3"/>
        <v>0</v>
      </c>
      <c r="Q26" s="46">
        <f t="shared" si="3"/>
        <v>689</v>
      </c>
    </row>
    <row r="27" spans="1:17" ht="13.2" x14ac:dyDescent="0.25">
      <c r="E27" s="29" t="s">
        <v>9</v>
      </c>
      <c r="F27" s="45">
        <f t="shared" ref="F27:Q27" si="4">$B$10*F9</f>
        <v>1308.1320000000001</v>
      </c>
      <c r="G27" s="45">
        <f t="shared" si="4"/>
        <v>135.10919999999999</v>
      </c>
      <c r="H27" s="45">
        <f t="shared" si="4"/>
        <v>12.0288</v>
      </c>
      <c r="I27" s="45">
        <f t="shared" si="4"/>
        <v>0</v>
      </c>
      <c r="J27" s="45">
        <f t="shared" si="4"/>
        <v>691.44120000000009</v>
      </c>
      <c r="K27" s="45">
        <f t="shared" si="4"/>
        <v>0.64439999999999997</v>
      </c>
      <c r="L27" s="45">
        <f t="shared" si="4"/>
        <v>0</v>
      </c>
      <c r="M27" s="45">
        <f t="shared" si="4"/>
        <v>0</v>
      </c>
      <c r="N27" s="45">
        <f t="shared" si="4"/>
        <v>0.42960000000000004</v>
      </c>
      <c r="O27" s="45">
        <f t="shared" si="4"/>
        <v>0</v>
      </c>
      <c r="P27" s="45">
        <f t="shared" si="4"/>
        <v>0</v>
      </c>
      <c r="Q27" s="46">
        <f t="shared" si="4"/>
        <v>2148</v>
      </c>
    </row>
    <row r="28" spans="1:17" ht="13.2" x14ac:dyDescent="0.25">
      <c r="E28" s="29" t="s">
        <v>10</v>
      </c>
      <c r="F28" s="45">
        <f t="shared" ref="F28:Q28" si="5">$B$11*F10</f>
        <v>891.65599999999995</v>
      </c>
      <c r="G28" s="45">
        <f t="shared" si="5"/>
        <v>73.18480000000001</v>
      </c>
      <c r="H28" s="45">
        <f t="shared" si="5"/>
        <v>11.622400000000001</v>
      </c>
      <c r="I28" s="45">
        <f t="shared" si="5"/>
        <v>0</v>
      </c>
      <c r="J28" s="45">
        <f t="shared" si="5"/>
        <v>831.72800000000007</v>
      </c>
      <c r="K28" s="45">
        <f t="shared" si="5"/>
        <v>5.6295999999999999</v>
      </c>
      <c r="L28" s="45">
        <f t="shared" si="5"/>
        <v>0.18160000000000001</v>
      </c>
      <c r="M28" s="45">
        <f t="shared" si="5"/>
        <v>0</v>
      </c>
      <c r="N28" s="45">
        <f t="shared" si="5"/>
        <v>1.9976</v>
      </c>
      <c r="O28" s="45">
        <f t="shared" si="5"/>
        <v>0</v>
      </c>
      <c r="P28" s="45">
        <f t="shared" si="5"/>
        <v>0</v>
      </c>
      <c r="Q28" s="46">
        <f t="shared" si="5"/>
        <v>1816</v>
      </c>
    </row>
    <row r="29" spans="1:17" ht="13.2" x14ac:dyDescent="0.25">
      <c r="E29" s="29" t="s">
        <v>11</v>
      </c>
      <c r="F29" s="45">
        <f t="shared" ref="F29:Q29" si="6">$B$12*F11</f>
        <v>67.052999999999997</v>
      </c>
      <c r="G29" s="45">
        <f t="shared" si="6"/>
        <v>12.329099999999999</v>
      </c>
      <c r="H29" s="45">
        <f t="shared" si="6"/>
        <v>1.0197000000000001</v>
      </c>
      <c r="I29" s="45">
        <f t="shared" si="6"/>
        <v>0</v>
      </c>
      <c r="J29" s="45">
        <f t="shared" si="6"/>
        <v>226.00260000000003</v>
      </c>
      <c r="K29" s="45">
        <f t="shared" si="6"/>
        <v>1.8230999999999999</v>
      </c>
      <c r="L29" s="45">
        <f t="shared" si="6"/>
        <v>0</v>
      </c>
      <c r="M29" s="45">
        <f t="shared" si="6"/>
        <v>0.46350000000000002</v>
      </c>
      <c r="N29" s="45">
        <f t="shared" si="6"/>
        <v>0.33990000000000004</v>
      </c>
      <c r="O29" s="45">
        <f t="shared" si="6"/>
        <v>0</v>
      </c>
      <c r="P29" s="45">
        <f t="shared" si="6"/>
        <v>0</v>
      </c>
      <c r="Q29" s="46">
        <f t="shared" si="6"/>
        <v>309</v>
      </c>
    </row>
    <row r="30" spans="1:17" ht="13.2" x14ac:dyDescent="0.25">
      <c r="E30" s="29" t="s">
        <v>12</v>
      </c>
      <c r="F30" s="45">
        <f t="shared" ref="F30:Q30" si="7">$B$13*F12</f>
        <v>2207.8119000000002</v>
      </c>
      <c r="G30" s="45">
        <f t="shared" si="7"/>
        <v>216.88589999999999</v>
      </c>
      <c r="H30" s="45">
        <f t="shared" si="7"/>
        <v>8.1753</v>
      </c>
      <c r="I30" s="45">
        <f t="shared" si="7"/>
        <v>0</v>
      </c>
      <c r="J30" s="45">
        <f t="shared" si="7"/>
        <v>1300.3535999999999</v>
      </c>
      <c r="K30" s="45">
        <f t="shared" si="7"/>
        <v>986.32590000000005</v>
      </c>
      <c r="L30" s="45">
        <f t="shared" si="7"/>
        <v>0</v>
      </c>
      <c r="M30" s="45">
        <f t="shared" si="7"/>
        <v>78.86760000000001</v>
      </c>
      <c r="N30" s="45">
        <f t="shared" si="7"/>
        <v>10.579800000000001</v>
      </c>
      <c r="O30" s="45">
        <f t="shared" si="7"/>
        <v>0</v>
      </c>
      <c r="P30" s="45">
        <f t="shared" si="7"/>
        <v>0</v>
      </c>
      <c r="Q30" s="46">
        <f t="shared" si="7"/>
        <v>4809</v>
      </c>
    </row>
    <row r="31" spans="1:17" ht="13.2" x14ac:dyDescent="0.25">
      <c r="E31" s="29" t="s">
        <v>13</v>
      </c>
      <c r="F31" s="45">
        <f t="shared" ref="F31:Q31" si="8">$B$14*F13</f>
        <v>0</v>
      </c>
      <c r="G31" s="45">
        <f t="shared" si="8"/>
        <v>0</v>
      </c>
      <c r="H31" s="45">
        <f t="shared" si="8"/>
        <v>0</v>
      </c>
      <c r="I31" s="45">
        <f t="shared" si="8"/>
        <v>0</v>
      </c>
      <c r="J31" s="45">
        <f t="shared" si="8"/>
        <v>0</v>
      </c>
      <c r="K31" s="45">
        <f t="shared" si="8"/>
        <v>0</v>
      </c>
      <c r="L31" s="45">
        <f t="shared" si="8"/>
        <v>0</v>
      </c>
      <c r="M31" s="45">
        <f t="shared" si="8"/>
        <v>0</v>
      </c>
      <c r="N31" s="45">
        <f t="shared" si="8"/>
        <v>0</v>
      </c>
      <c r="O31" s="45">
        <f t="shared" si="8"/>
        <v>0</v>
      </c>
      <c r="P31" s="45">
        <f t="shared" si="8"/>
        <v>0</v>
      </c>
      <c r="Q31" s="46">
        <f t="shared" si="8"/>
        <v>0</v>
      </c>
    </row>
    <row r="32" spans="1:17" ht="13.2" x14ac:dyDescent="0.25">
      <c r="E32" s="29" t="s">
        <v>14</v>
      </c>
      <c r="F32" s="45">
        <f t="shared" ref="F32:Q32" si="9">$B$15*F14</f>
        <v>232.66800000000001</v>
      </c>
      <c r="G32" s="45">
        <f t="shared" si="9"/>
        <v>16.422000000000001</v>
      </c>
      <c r="H32" s="45">
        <f t="shared" si="9"/>
        <v>3.5879999999999996</v>
      </c>
      <c r="I32" s="45">
        <f t="shared" si="9"/>
        <v>0</v>
      </c>
      <c r="J32" s="45">
        <f t="shared" si="9"/>
        <v>422.21100000000001</v>
      </c>
      <c r="K32" s="45">
        <f t="shared" si="9"/>
        <v>13.869</v>
      </c>
      <c r="L32" s="45">
        <f t="shared" si="9"/>
        <v>0</v>
      </c>
      <c r="M32" s="45">
        <f t="shared" si="9"/>
        <v>0.13800000000000001</v>
      </c>
      <c r="N32" s="45">
        <f t="shared" si="9"/>
        <v>0.89699999999999991</v>
      </c>
      <c r="O32" s="45">
        <f t="shared" si="9"/>
        <v>0</v>
      </c>
      <c r="P32" s="45">
        <f t="shared" si="9"/>
        <v>0.13800000000000001</v>
      </c>
      <c r="Q32" s="46">
        <f t="shared" si="9"/>
        <v>690</v>
      </c>
    </row>
    <row r="33" spans="5:17" ht="13.2" x14ac:dyDescent="0.25">
      <c r="E33" s="29" t="s">
        <v>15</v>
      </c>
      <c r="F33" s="45">
        <f t="shared" ref="F33:Q33" si="10">$B$16*F15</f>
        <v>17.160599999999999</v>
      </c>
      <c r="G33" s="45">
        <f t="shared" si="10"/>
        <v>0.49580000000000002</v>
      </c>
      <c r="H33" s="45">
        <f t="shared" si="10"/>
        <v>0</v>
      </c>
      <c r="I33" s="45">
        <f t="shared" si="10"/>
        <v>0</v>
      </c>
      <c r="J33" s="45">
        <f t="shared" si="10"/>
        <v>13.69</v>
      </c>
      <c r="K33" s="45">
        <f t="shared" si="10"/>
        <v>5.6536</v>
      </c>
      <c r="L33" s="45">
        <f t="shared" si="10"/>
        <v>0</v>
      </c>
      <c r="M33" s="45">
        <f t="shared" si="10"/>
        <v>0</v>
      </c>
      <c r="N33" s="45">
        <f t="shared" si="10"/>
        <v>0</v>
      </c>
      <c r="O33" s="45">
        <f t="shared" si="10"/>
        <v>0</v>
      </c>
      <c r="P33" s="45">
        <f t="shared" si="10"/>
        <v>0</v>
      </c>
      <c r="Q33" s="46">
        <f t="shared" si="10"/>
        <v>37</v>
      </c>
    </row>
    <row r="34" spans="5:17" ht="13.2" x14ac:dyDescent="0.25">
      <c r="E34" s="29" t="s">
        <v>16</v>
      </c>
      <c r="F34" s="45">
        <f t="shared" ref="F34:Q34" si="11">$B$17*F16</f>
        <v>0</v>
      </c>
      <c r="G34" s="45">
        <f t="shared" si="11"/>
        <v>0</v>
      </c>
      <c r="H34" s="45">
        <f t="shared" si="11"/>
        <v>0</v>
      </c>
      <c r="I34" s="45">
        <f t="shared" si="11"/>
        <v>0</v>
      </c>
      <c r="J34" s="45">
        <f t="shared" si="11"/>
        <v>0</v>
      </c>
      <c r="K34" s="45">
        <f t="shared" si="11"/>
        <v>0</v>
      </c>
      <c r="L34" s="45">
        <f t="shared" si="11"/>
        <v>0</v>
      </c>
      <c r="M34" s="45">
        <f t="shared" si="11"/>
        <v>0</v>
      </c>
      <c r="N34" s="45">
        <f t="shared" si="11"/>
        <v>0</v>
      </c>
      <c r="O34" s="45">
        <f t="shared" si="11"/>
        <v>0</v>
      </c>
      <c r="P34" s="45">
        <f t="shared" si="11"/>
        <v>0</v>
      </c>
      <c r="Q34" s="46">
        <f t="shared" si="11"/>
        <v>0</v>
      </c>
    </row>
    <row r="35" spans="5:17" ht="13.2" x14ac:dyDescent="0.25">
      <c r="E35" s="29" t="s">
        <v>17</v>
      </c>
      <c r="F35" s="45">
        <f t="shared" ref="F35:Q35" si="12">$B$18*F17</f>
        <v>0</v>
      </c>
      <c r="G35" s="45">
        <f t="shared" si="12"/>
        <v>0</v>
      </c>
      <c r="H35" s="45">
        <f t="shared" si="12"/>
        <v>0</v>
      </c>
      <c r="I35" s="45">
        <f t="shared" si="12"/>
        <v>0</v>
      </c>
      <c r="J35" s="45">
        <f t="shared" si="12"/>
        <v>0</v>
      </c>
      <c r="K35" s="45">
        <f t="shared" si="12"/>
        <v>0</v>
      </c>
      <c r="L35" s="45">
        <f t="shared" si="12"/>
        <v>0</v>
      </c>
      <c r="M35" s="45">
        <f t="shared" si="12"/>
        <v>0</v>
      </c>
      <c r="N35" s="45">
        <f t="shared" si="12"/>
        <v>0</v>
      </c>
      <c r="O35" s="45">
        <f t="shared" si="12"/>
        <v>0</v>
      </c>
      <c r="P35" s="45">
        <f t="shared" si="12"/>
        <v>0</v>
      </c>
      <c r="Q35" s="46">
        <f t="shared" si="12"/>
        <v>0</v>
      </c>
    </row>
    <row r="36" spans="5:17" ht="34.200000000000003" x14ac:dyDescent="0.25">
      <c r="E36" s="29" t="s">
        <v>18</v>
      </c>
      <c r="F36" s="45">
        <f t="shared" ref="F36:Q36" si="13">$B$19*F18</f>
        <v>0</v>
      </c>
      <c r="G36" s="45">
        <f t="shared" si="13"/>
        <v>0</v>
      </c>
      <c r="H36" s="45">
        <f t="shared" si="13"/>
        <v>0</v>
      </c>
      <c r="I36" s="45">
        <f t="shared" si="13"/>
        <v>54</v>
      </c>
      <c r="J36" s="45">
        <f t="shared" si="13"/>
        <v>0</v>
      </c>
      <c r="K36" s="45">
        <f t="shared" si="13"/>
        <v>0</v>
      </c>
      <c r="L36" s="45">
        <f t="shared" si="13"/>
        <v>0</v>
      </c>
      <c r="M36" s="45">
        <f t="shared" si="13"/>
        <v>0</v>
      </c>
      <c r="N36" s="45">
        <f t="shared" si="13"/>
        <v>0</v>
      </c>
      <c r="O36" s="45">
        <f t="shared" si="13"/>
        <v>0</v>
      </c>
      <c r="P36" s="45">
        <f t="shared" si="13"/>
        <v>0</v>
      </c>
      <c r="Q36" s="46">
        <f t="shared" si="13"/>
        <v>54</v>
      </c>
    </row>
    <row r="37" spans="5:17" ht="22.8" x14ac:dyDescent="0.25">
      <c r="E37" s="29" t="s">
        <v>19</v>
      </c>
      <c r="F37" s="45">
        <f t="shared" ref="F37:Q37" si="14">$B$20*F19</f>
        <v>0</v>
      </c>
      <c r="G37" s="45">
        <f t="shared" si="14"/>
        <v>0</v>
      </c>
      <c r="H37" s="45">
        <f t="shared" si="14"/>
        <v>0</v>
      </c>
      <c r="I37" s="45">
        <f t="shared" si="14"/>
        <v>0</v>
      </c>
      <c r="J37" s="45">
        <f t="shared" si="14"/>
        <v>0</v>
      </c>
      <c r="K37" s="45">
        <f t="shared" si="14"/>
        <v>0</v>
      </c>
      <c r="L37" s="45">
        <f t="shared" si="14"/>
        <v>0</v>
      </c>
      <c r="M37" s="45">
        <f t="shared" si="14"/>
        <v>0</v>
      </c>
      <c r="N37" s="45">
        <f t="shared" si="14"/>
        <v>0</v>
      </c>
      <c r="O37" s="45">
        <f t="shared" si="14"/>
        <v>0</v>
      </c>
      <c r="P37" s="45">
        <f t="shared" si="14"/>
        <v>0</v>
      </c>
      <c r="Q37" s="46">
        <f t="shared" si="14"/>
        <v>0</v>
      </c>
    </row>
    <row r="38" spans="5:17" ht="13.2" x14ac:dyDescent="0.25">
      <c r="E38" s="29" t="s">
        <v>20</v>
      </c>
      <c r="F38" s="45">
        <f t="shared" ref="F38:Q38" si="15">SUM(F23:F37)</f>
        <v>6320.5840999999991</v>
      </c>
      <c r="G38" s="45">
        <f t="shared" si="15"/>
        <v>507.07879999999994</v>
      </c>
      <c r="H38" s="45">
        <f t="shared" si="15"/>
        <v>39.227499999999999</v>
      </c>
      <c r="I38" s="45">
        <f t="shared" si="15"/>
        <v>54</v>
      </c>
      <c r="J38" s="45">
        <f t="shared" si="15"/>
        <v>3942.6125999999999</v>
      </c>
      <c r="K38" s="45">
        <f t="shared" si="15"/>
        <v>1013.9456</v>
      </c>
      <c r="L38" s="45">
        <f t="shared" si="15"/>
        <v>0.18160000000000001</v>
      </c>
      <c r="M38" s="45">
        <f t="shared" si="15"/>
        <v>79.469100000000012</v>
      </c>
      <c r="N38" s="45">
        <f t="shared" si="15"/>
        <v>14.243900000000002</v>
      </c>
      <c r="O38" s="45">
        <f t="shared" si="15"/>
        <v>0.33480000000000004</v>
      </c>
      <c r="P38" s="45">
        <f t="shared" si="15"/>
        <v>0.13800000000000001</v>
      </c>
      <c r="Q38" s="37">
        <f t="shared" si="15"/>
        <v>11972</v>
      </c>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8"/>
  <sheetViews>
    <sheetView topLeftCell="A10" zoomScale="80" zoomScaleNormal="80" workbookViewId="0">
      <selection activeCell="S42" sqref="S42"/>
    </sheetView>
  </sheetViews>
  <sheetFormatPr defaultColWidth="11.5546875" defaultRowHeight="12.75" customHeight="1" x14ac:dyDescent="0.25"/>
  <cols>
    <col min="1" max="1" width="13.21875" style="41" customWidth="1"/>
    <col min="16" max="16" width="17.33203125" style="41" customWidth="1"/>
    <col min="23" max="23" width="13.33203125" style="41" customWidth="1"/>
  </cols>
  <sheetData>
    <row r="1" spans="1:29" ht="45.6" x14ac:dyDescent="0.25">
      <c r="A1" s="29" t="s">
        <v>3</v>
      </c>
      <c r="B1" s="29" t="s">
        <v>22</v>
      </c>
      <c r="C1" s="29" t="s">
        <v>27</v>
      </c>
      <c r="D1" s="29" t="s">
        <v>28</v>
      </c>
      <c r="E1" s="29" t="s">
        <v>29</v>
      </c>
      <c r="F1" s="29" t="s">
        <v>30</v>
      </c>
      <c r="G1" s="29" t="s">
        <v>31</v>
      </c>
      <c r="H1" s="29" t="s">
        <v>32</v>
      </c>
      <c r="I1" s="29" t="s">
        <v>33</v>
      </c>
      <c r="J1" s="29" t="s">
        <v>34</v>
      </c>
      <c r="K1" s="29" t="s">
        <v>35</v>
      </c>
      <c r="L1" s="29" t="s">
        <v>36</v>
      </c>
      <c r="M1" s="29" t="s">
        <v>26</v>
      </c>
      <c r="O1" s="9" t="s">
        <v>44</v>
      </c>
      <c r="P1" s="9" t="s">
        <v>45</v>
      </c>
      <c r="Q1" s="9" t="s">
        <v>46</v>
      </c>
      <c r="R1" s="9" t="s">
        <v>47</v>
      </c>
      <c r="S1" s="48" t="s">
        <v>48</v>
      </c>
      <c r="T1" s="49" t="s">
        <v>49</v>
      </c>
      <c r="U1" s="50" t="s">
        <v>50</v>
      </c>
      <c r="V1" s="49" t="s">
        <v>51</v>
      </c>
      <c r="W1" s="50" t="s">
        <v>52</v>
      </c>
      <c r="X1" s="49" t="s">
        <v>53</v>
      </c>
      <c r="Y1" s="50" t="s">
        <v>54</v>
      </c>
      <c r="Z1" s="49" t="s">
        <v>55</v>
      </c>
      <c r="AA1" s="50" t="s">
        <v>56</v>
      </c>
      <c r="AB1" s="49" t="s">
        <v>57</v>
      </c>
      <c r="AC1" s="50" t="s">
        <v>58</v>
      </c>
    </row>
    <row r="2" spans="1:29" ht="15.6" x14ac:dyDescent="0.3">
      <c r="A2" s="29" t="s">
        <v>4</v>
      </c>
      <c r="B2" s="29"/>
      <c r="C2" s="29"/>
      <c r="D2" s="29"/>
      <c r="E2" s="29"/>
      <c r="F2" s="29"/>
      <c r="G2" s="29"/>
      <c r="H2" s="29"/>
      <c r="I2" s="29"/>
      <c r="J2" s="29"/>
      <c r="K2" s="29"/>
      <c r="L2" s="29"/>
      <c r="M2" s="29"/>
      <c r="O2" s="9"/>
      <c r="P2" s="9"/>
      <c r="Q2" s="9"/>
      <c r="R2" s="9"/>
      <c r="S2" s="47" t="s">
        <v>59</v>
      </c>
      <c r="T2" s="51" t="s">
        <v>60</v>
      </c>
      <c r="U2" s="52" t="s">
        <v>60</v>
      </c>
      <c r="V2" s="51" t="s">
        <v>60</v>
      </c>
      <c r="W2" s="52" t="s">
        <v>60</v>
      </c>
      <c r="X2" s="51" t="s">
        <v>60</v>
      </c>
      <c r="Y2" s="52" t="s">
        <v>60</v>
      </c>
      <c r="Z2" s="51" t="s">
        <v>59</v>
      </c>
      <c r="AA2" s="52" t="s">
        <v>59</v>
      </c>
      <c r="AB2" s="51" t="s">
        <v>60</v>
      </c>
      <c r="AC2" s="52" t="s">
        <v>60</v>
      </c>
    </row>
    <row r="3" spans="1:29" ht="15.6" x14ac:dyDescent="0.3">
      <c r="A3" s="29" t="s">
        <v>5</v>
      </c>
      <c r="B3" s="45">
        <v>719.48519999999996</v>
      </c>
      <c r="C3" s="45">
        <v>25.863299999999999</v>
      </c>
      <c r="D3" s="45">
        <v>0.75329999999999997</v>
      </c>
      <c r="E3" s="45">
        <v>0</v>
      </c>
      <c r="F3" s="45">
        <v>90.563400000000001</v>
      </c>
      <c r="G3" s="45">
        <v>0</v>
      </c>
      <c r="H3" s="45">
        <v>0</v>
      </c>
      <c r="I3" s="45">
        <v>0</v>
      </c>
      <c r="J3" s="45">
        <v>0</v>
      </c>
      <c r="K3" s="45">
        <v>0.33479999999999999</v>
      </c>
      <c r="L3" s="45">
        <v>0</v>
      </c>
      <c r="M3" s="46">
        <v>837</v>
      </c>
      <c r="O3" s="53" t="s">
        <v>61</v>
      </c>
      <c r="P3" s="53" t="s">
        <v>62</v>
      </c>
      <c r="Q3" s="53" t="s">
        <v>63</v>
      </c>
      <c r="R3" s="53" t="s">
        <v>64</v>
      </c>
      <c r="S3" s="54">
        <v>61.54</v>
      </c>
      <c r="T3" s="55">
        <v>2149.08</v>
      </c>
      <c r="U3" s="56">
        <f>(T3*(B3+G3)/$M$18)</f>
        <v>129.15396371667222</v>
      </c>
      <c r="V3" s="55">
        <v>29.83</v>
      </c>
      <c r="W3" s="57">
        <f>(V3*((B3+G3))/$M$18)</f>
        <v>1.792703267290344</v>
      </c>
      <c r="X3" s="55">
        <v>116.35</v>
      </c>
      <c r="Y3" s="57">
        <f>(X3*((B3+G3))/$M$18)</f>
        <v>6.9923240076845969</v>
      </c>
      <c r="Z3" s="55">
        <v>194.86</v>
      </c>
      <c r="AA3" s="57">
        <f>(Z3*((B3+G3))/$M$18)</f>
        <v>11.710565158035415</v>
      </c>
      <c r="AB3" s="58">
        <v>7.9</v>
      </c>
      <c r="AC3" s="57">
        <f>(AB3*((B3+G3))/$M$18)</f>
        <v>0.4747688840628132</v>
      </c>
    </row>
    <row r="4" spans="1:29" ht="15.6" x14ac:dyDescent="0.3">
      <c r="A4" s="29" t="s">
        <v>6</v>
      </c>
      <c r="B4" s="45">
        <v>142.17840000000001</v>
      </c>
      <c r="C4" s="45">
        <v>7.9631999999999996</v>
      </c>
      <c r="D4" s="45">
        <v>0.6048</v>
      </c>
      <c r="E4" s="45">
        <v>0</v>
      </c>
      <c r="F4" s="45">
        <v>17.253599999999999</v>
      </c>
      <c r="G4" s="45">
        <v>0</v>
      </c>
      <c r="H4" s="45">
        <v>0</v>
      </c>
      <c r="I4" s="45">
        <v>0</v>
      </c>
      <c r="J4" s="45">
        <v>0</v>
      </c>
      <c r="K4" s="45">
        <v>0</v>
      </c>
      <c r="L4" s="45">
        <v>0</v>
      </c>
      <c r="M4" s="46">
        <v>168</v>
      </c>
      <c r="O4" s="53" t="s">
        <v>61</v>
      </c>
      <c r="P4" s="53" t="s">
        <v>62</v>
      </c>
      <c r="Q4" s="53" t="s">
        <v>65</v>
      </c>
      <c r="R4" s="53" t="s">
        <v>66</v>
      </c>
      <c r="S4" s="54">
        <v>61.28</v>
      </c>
      <c r="T4" s="55">
        <v>752.89</v>
      </c>
      <c r="U4" s="56">
        <f>(T4*(B4+G4))/$M$18</f>
        <v>8.94125422452389</v>
      </c>
      <c r="V4" s="55">
        <v>30.66</v>
      </c>
      <c r="W4" s="57">
        <f>(V4*((B4+G4))/$M$18)</f>
        <v>0.36411541463414637</v>
      </c>
      <c r="X4" s="55">
        <v>24.82</v>
      </c>
      <c r="Y4" s="57">
        <f>(X4*((B4+G4))/$M$18)</f>
        <v>0.29476009756097565</v>
      </c>
      <c r="Z4" s="55">
        <v>194.04</v>
      </c>
      <c r="AA4" s="57">
        <f>(Z4*((B4+G4))/$M$18)</f>
        <v>2.3044016652188439</v>
      </c>
      <c r="AB4" s="55">
        <v>14.64</v>
      </c>
      <c r="AC4" s="57">
        <f>(AB4*((B4+G4))/$M$18)</f>
        <v>0.17386332910123625</v>
      </c>
    </row>
    <row r="5" spans="1:29" ht="15.6" x14ac:dyDescent="0.3">
      <c r="A5" s="29" t="s">
        <v>7</v>
      </c>
      <c r="B5" s="45">
        <v>326.89550000000003</v>
      </c>
      <c r="C5" s="45">
        <v>11.246499999999999</v>
      </c>
      <c r="D5" s="45">
        <v>0.53949999999999998</v>
      </c>
      <c r="E5" s="45">
        <v>0</v>
      </c>
      <c r="F5" s="45">
        <v>76.3185</v>
      </c>
      <c r="G5" s="45">
        <v>0</v>
      </c>
      <c r="H5" s="45">
        <v>0</v>
      </c>
      <c r="I5" s="45">
        <v>0</v>
      </c>
      <c r="J5" s="45">
        <v>0</v>
      </c>
      <c r="K5" s="45">
        <v>0</v>
      </c>
      <c r="L5" s="45">
        <v>0</v>
      </c>
      <c r="M5" s="46">
        <v>415</v>
      </c>
      <c r="O5" s="53" t="s">
        <v>61</v>
      </c>
      <c r="P5" s="53" t="s">
        <v>62</v>
      </c>
      <c r="Q5" s="53" t="s">
        <v>67</v>
      </c>
      <c r="R5" s="53" t="s">
        <v>68</v>
      </c>
      <c r="S5" s="54">
        <v>58.1</v>
      </c>
      <c r="T5" s="55">
        <v>393.4</v>
      </c>
      <c r="U5" s="56">
        <f>(T5*(B5+G5))/$M$18</f>
        <v>10.741788314400267</v>
      </c>
      <c r="V5" s="55">
        <v>29.84</v>
      </c>
      <c r="W5" s="57">
        <f>(V5*((B5+G5))/$M$18)</f>
        <v>0.81478129969929847</v>
      </c>
      <c r="X5" s="55">
        <v>35.03</v>
      </c>
      <c r="Y5" s="57">
        <f>(X5*((B5+G5))/$M$18)</f>
        <v>0.95649426703975948</v>
      </c>
      <c r="Z5" s="55">
        <v>183.99</v>
      </c>
      <c r="AA5" s="57">
        <f>(Z5*((B5+G5))/$M$18)</f>
        <v>5.023847564734381</v>
      </c>
      <c r="AB5" s="58">
        <v>7.32</v>
      </c>
      <c r="AC5" s="57">
        <f>(AB5*((B5+G5))/$M$18)</f>
        <v>0.19987262445706652</v>
      </c>
    </row>
    <row r="6" spans="1:29" ht="15.6" x14ac:dyDescent="0.3">
      <c r="A6" s="29" t="s">
        <v>8</v>
      </c>
      <c r="B6" s="45">
        <v>407.54349999999999</v>
      </c>
      <c r="C6" s="45">
        <v>7.5789999999999997</v>
      </c>
      <c r="D6" s="45">
        <v>0.89570000000000005</v>
      </c>
      <c r="E6" s="45">
        <v>0</v>
      </c>
      <c r="F6" s="45">
        <v>273.05070000000001</v>
      </c>
      <c r="G6" s="45">
        <v>0</v>
      </c>
      <c r="H6" s="45">
        <v>0</v>
      </c>
      <c r="I6" s="45">
        <v>0</v>
      </c>
      <c r="J6" s="45">
        <v>0</v>
      </c>
      <c r="K6" s="45">
        <v>0</v>
      </c>
      <c r="L6" s="45">
        <v>0</v>
      </c>
      <c r="M6" s="46">
        <v>689</v>
      </c>
      <c r="O6" s="53" t="s">
        <v>61</v>
      </c>
      <c r="P6" s="53" t="s">
        <v>62</v>
      </c>
      <c r="Q6" s="53" t="s">
        <v>69</v>
      </c>
      <c r="R6" s="53" t="s">
        <v>70</v>
      </c>
      <c r="S6" s="54">
        <v>57.68</v>
      </c>
      <c r="T6" s="55">
        <v>105.07</v>
      </c>
      <c r="U6" s="56">
        <f>(T6*(B6+G6))/$M$18</f>
        <v>3.5767286622953556</v>
      </c>
      <c r="V6" s="55">
        <v>27.78</v>
      </c>
      <c r="W6" s="57">
        <f>(V6*((B6+G6))/$M$18)</f>
        <v>0.9456697652856666</v>
      </c>
      <c r="X6" s="55">
        <v>24.21</v>
      </c>
      <c r="Y6" s="57">
        <f>(X6*((B6+G6))/$M$18)</f>
        <v>0.82414200927163384</v>
      </c>
      <c r="Z6" s="55">
        <v>182.63</v>
      </c>
      <c r="AA6" s="57">
        <f>(Z6*((B6+G6))/$M$18)</f>
        <v>6.2169787341296354</v>
      </c>
      <c r="AB6" s="58">
        <v>2.5299999999999998</v>
      </c>
      <c r="AC6" s="57">
        <f>(AB6*((B6+G6))/$M$18)</f>
        <v>8.6124712245238891E-2</v>
      </c>
    </row>
    <row r="7" spans="1:29" ht="15.6" x14ac:dyDescent="0.3">
      <c r="A7" s="29" t="s">
        <v>9</v>
      </c>
      <c r="B7" s="45">
        <v>1308.1320000000001</v>
      </c>
      <c r="C7" s="45">
        <v>135.10919999999999</v>
      </c>
      <c r="D7" s="45">
        <v>12.0288</v>
      </c>
      <c r="E7" s="45">
        <v>0</v>
      </c>
      <c r="F7" s="45">
        <v>691.44119999999998</v>
      </c>
      <c r="G7" s="45">
        <v>0.64439999999999997</v>
      </c>
      <c r="H7" s="45">
        <v>0</v>
      </c>
      <c r="I7" s="45">
        <v>0</v>
      </c>
      <c r="J7" s="45">
        <v>0.42959999999999998</v>
      </c>
      <c r="K7" s="45">
        <v>0</v>
      </c>
      <c r="L7" s="45">
        <v>0</v>
      </c>
      <c r="M7" s="46">
        <v>2148</v>
      </c>
      <c r="O7" s="53" t="s">
        <v>61</v>
      </c>
      <c r="P7" s="53" t="s">
        <v>62</v>
      </c>
      <c r="Q7" s="53" t="s">
        <v>71</v>
      </c>
      <c r="R7" s="53" t="s">
        <v>72</v>
      </c>
      <c r="S7" s="54">
        <v>59.21</v>
      </c>
      <c r="T7" s="55">
        <v>64.33</v>
      </c>
      <c r="U7" s="56">
        <f>(T7*(B7+G7))/$M$18</f>
        <v>7.0325414143000327</v>
      </c>
      <c r="V7" s="55">
        <v>27.5</v>
      </c>
      <c r="W7" s="57">
        <f>(V7*((B7+G7))/$M$18)</f>
        <v>3.0062939358503176</v>
      </c>
      <c r="X7" s="55">
        <v>17.68</v>
      </c>
      <c r="Y7" s="57">
        <f>(X7*((B7+G7))/$M$18)</f>
        <v>1.9327737013030402</v>
      </c>
      <c r="Z7" s="55">
        <v>187.49</v>
      </c>
      <c r="AA7" s="57">
        <f>(Z7*((B7+G7))/$M$18)</f>
        <v>20.496365455730039</v>
      </c>
      <c r="AB7" s="58">
        <v>1.86</v>
      </c>
      <c r="AC7" s="57">
        <f>(AB7*((B7+G7))/$M$18)</f>
        <v>0.20333478984296693</v>
      </c>
    </row>
    <row r="8" spans="1:29" ht="15.6" x14ac:dyDescent="0.3">
      <c r="A8" s="29" t="s">
        <v>10</v>
      </c>
      <c r="B8" s="45">
        <v>891.65599999999995</v>
      </c>
      <c r="C8" s="45">
        <v>73.184799999999996</v>
      </c>
      <c r="D8" s="45">
        <v>11.622400000000001</v>
      </c>
      <c r="E8" s="45">
        <v>0</v>
      </c>
      <c r="F8" s="45">
        <v>831.72799999999995</v>
      </c>
      <c r="G8" s="45">
        <v>5.6295999999999999</v>
      </c>
      <c r="H8" s="45">
        <v>0.18160000000000001</v>
      </c>
      <c r="I8" s="45">
        <v>0</v>
      </c>
      <c r="J8" s="45">
        <v>1.9976</v>
      </c>
      <c r="K8" s="45">
        <v>0</v>
      </c>
      <c r="L8" s="45">
        <v>0</v>
      </c>
      <c r="M8" s="46">
        <v>1816</v>
      </c>
      <c r="O8" s="53" t="s">
        <v>61</v>
      </c>
      <c r="P8" s="53" t="s">
        <v>62</v>
      </c>
      <c r="Q8" s="53" t="s">
        <v>73</v>
      </c>
      <c r="R8" s="53" t="s">
        <v>74</v>
      </c>
      <c r="S8" s="54">
        <v>57.88</v>
      </c>
      <c r="T8" s="55">
        <v>45.49</v>
      </c>
      <c r="U8" s="56">
        <f>(T8*(B8+B9+G8+G9))/$M$18</f>
        <v>3.6711239335950547</v>
      </c>
      <c r="V8" s="55">
        <v>26.69</v>
      </c>
      <c r="W8" s="56">
        <f>(V8*(B8+B9+G8+G9))/$M$18</f>
        <v>2.1539304855496155</v>
      </c>
      <c r="X8" s="55">
        <v>17.68</v>
      </c>
      <c r="Y8" s="56">
        <f>(X8*(B8+B9+G8+G9))/$M$18</f>
        <v>1.4268074553959236</v>
      </c>
      <c r="Z8" s="55">
        <v>183.28</v>
      </c>
      <c r="AA8" s="56">
        <f>(Z8*(B8+B9+G8+G9))/$M$18</f>
        <v>14.791022082860007</v>
      </c>
      <c r="AB8" s="58">
        <v>1.1000000000000001</v>
      </c>
      <c r="AC8" s="56">
        <f>(AB8*(B8+B9+G8+G9))/$M$18</f>
        <v>8.8771957066488466E-2</v>
      </c>
    </row>
    <row r="9" spans="1:29" ht="15.6" x14ac:dyDescent="0.3">
      <c r="A9" s="29" t="s">
        <v>11</v>
      </c>
      <c r="B9" s="45">
        <v>67.052999999999997</v>
      </c>
      <c r="C9" s="45">
        <v>12.3291</v>
      </c>
      <c r="D9" s="45">
        <v>1.0197000000000001</v>
      </c>
      <c r="E9" s="45">
        <v>0</v>
      </c>
      <c r="F9" s="45">
        <v>226.0026</v>
      </c>
      <c r="G9" s="45">
        <v>1.8230999999999999</v>
      </c>
      <c r="H9" s="45">
        <v>0</v>
      </c>
      <c r="I9" s="45">
        <v>0.46350000000000002</v>
      </c>
      <c r="J9" s="45">
        <v>0.33989999999999998</v>
      </c>
      <c r="K9" s="45">
        <v>0</v>
      </c>
      <c r="L9" s="45">
        <v>0</v>
      </c>
      <c r="M9" s="46">
        <v>309</v>
      </c>
      <c r="O9" s="53" t="s">
        <v>61</v>
      </c>
      <c r="P9" s="53" t="s">
        <v>62</v>
      </c>
      <c r="Q9" s="53" t="s">
        <v>75</v>
      </c>
      <c r="R9" s="53" t="s">
        <v>76</v>
      </c>
      <c r="S9" s="54">
        <v>56.27</v>
      </c>
      <c r="T9" s="55">
        <v>26.67</v>
      </c>
      <c r="U9" s="56">
        <f>(T9*(B10+B11+B12+B13+G10+G11+G12+G13))/$M$18</f>
        <v>7.7156073864016053</v>
      </c>
      <c r="V9" s="55">
        <v>26.52</v>
      </c>
      <c r="W9" s="57">
        <f>(V9*(B10+B11+B12+B13+G10+G11+G12+G13))/$M$18</f>
        <v>7.6722125192114943</v>
      </c>
      <c r="X9" s="55">
        <v>17.68</v>
      </c>
      <c r="Y9" s="57">
        <f>(X9*(B10+B11+B12+B13+G10+G11+G12+G13))/$M$18</f>
        <v>5.1148083461409968</v>
      </c>
      <c r="Z9" s="55">
        <v>178.17</v>
      </c>
      <c r="AA9" s="57">
        <f>(Z9*(B10+B11+B12+B13+G10+G11+G12+G13))/$M$18</f>
        <v>51.544423248412969</v>
      </c>
      <c r="AB9" s="58">
        <v>1.08</v>
      </c>
      <c r="AC9" s="57">
        <f>(AB9*(B10+B11+B12+B13+G10+G11+G12+G13))/$M$18</f>
        <v>0.31244304376879389</v>
      </c>
    </row>
    <row r="10" spans="1:29" ht="15.6" x14ac:dyDescent="0.3">
      <c r="A10" s="29" t="s">
        <v>12</v>
      </c>
      <c r="B10" s="45">
        <v>2207.8119000000002</v>
      </c>
      <c r="C10" s="45">
        <v>216.88589999999999</v>
      </c>
      <c r="D10" s="45">
        <v>8.1753</v>
      </c>
      <c r="E10" s="45">
        <v>0</v>
      </c>
      <c r="F10" s="45">
        <v>1300.3535999999999</v>
      </c>
      <c r="G10" s="45">
        <v>986.32590000000005</v>
      </c>
      <c r="H10" s="45">
        <v>0</v>
      </c>
      <c r="I10" s="45">
        <v>78.867599999999996</v>
      </c>
      <c r="J10" s="45">
        <v>10.579800000000001</v>
      </c>
      <c r="K10" s="45">
        <v>0</v>
      </c>
      <c r="L10" s="45">
        <v>0</v>
      </c>
      <c r="M10" s="46">
        <v>4809</v>
      </c>
      <c r="O10" s="53" t="s">
        <v>61</v>
      </c>
      <c r="P10" s="53" t="s">
        <v>62</v>
      </c>
      <c r="Q10" s="53" t="s">
        <v>77</v>
      </c>
      <c r="R10" s="53" t="s">
        <v>78</v>
      </c>
      <c r="S10" s="54">
        <v>56.27</v>
      </c>
      <c r="T10" s="55">
        <v>26.67</v>
      </c>
      <c r="U10" s="56">
        <f>(T10*(B14+G14))/$M$18</f>
        <v>0</v>
      </c>
      <c r="V10" s="55">
        <v>26.52</v>
      </c>
      <c r="W10" s="57">
        <f>(V10*(B14+G14))/$M$18</f>
        <v>0</v>
      </c>
      <c r="X10" s="55">
        <v>17.68</v>
      </c>
      <c r="Y10" s="57">
        <f>(X10*(B14+G14))/$M$18</f>
        <v>0</v>
      </c>
      <c r="Z10" s="55">
        <v>178.17</v>
      </c>
      <c r="AA10" s="57">
        <f>(Z10*(B14+G14))/$M$18</f>
        <v>0</v>
      </c>
      <c r="AB10" s="58">
        <v>1.08</v>
      </c>
      <c r="AC10" s="57">
        <f>(AB10*(B14+G14))/$M$18</f>
        <v>0</v>
      </c>
    </row>
    <row r="11" spans="1:29" ht="15.6" x14ac:dyDescent="0.3">
      <c r="A11" s="29" t="s">
        <v>13</v>
      </c>
      <c r="B11" s="45">
        <v>0</v>
      </c>
      <c r="C11" s="45">
        <v>0</v>
      </c>
      <c r="D11" s="45">
        <v>0</v>
      </c>
      <c r="E11" s="45">
        <v>0</v>
      </c>
      <c r="F11" s="45">
        <v>0</v>
      </c>
      <c r="G11" s="45">
        <v>0</v>
      </c>
      <c r="H11" s="45">
        <v>0</v>
      </c>
      <c r="I11" s="45">
        <v>0</v>
      </c>
      <c r="J11" s="45">
        <v>0</v>
      </c>
      <c r="K11" s="45">
        <v>0</v>
      </c>
      <c r="L11" s="45">
        <v>0</v>
      </c>
      <c r="M11" s="46">
        <v>0</v>
      </c>
      <c r="O11" s="53" t="s">
        <v>61</v>
      </c>
      <c r="P11" s="53" t="s">
        <v>62</v>
      </c>
      <c r="Q11" s="53" t="s">
        <v>79</v>
      </c>
      <c r="R11" s="53" t="s">
        <v>80</v>
      </c>
      <c r="S11" s="54">
        <v>56.27</v>
      </c>
      <c r="T11" s="55">
        <v>26.67</v>
      </c>
      <c r="U11" s="56">
        <f>(T11*(B15+G15))/$M$18</f>
        <v>0</v>
      </c>
      <c r="V11" s="55">
        <v>26.52</v>
      </c>
      <c r="W11" s="57">
        <f>(V11*(B15+G15))/$M$18</f>
        <v>0</v>
      </c>
      <c r="X11" s="55">
        <v>17.68</v>
      </c>
      <c r="Y11" s="57">
        <f>(X11*(B15+G15))/$M$18</f>
        <v>0</v>
      </c>
      <c r="Z11" s="55">
        <v>178.17</v>
      </c>
      <c r="AA11" s="57">
        <f>(Z11*(B15+G15))/$M$18</f>
        <v>0</v>
      </c>
      <c r="AB11" s="58">
        <v>1.08</v>
      </c>
      <c r="AC11" s="57">
        <f>(AB11*(B15+G15))/$M$18</f>
        <v>0</v>
      </c>
    </row>
    <row r="12" spans="1:29" ht="15.6" x14ac:dyDescent="0.3">
      <c r="A12" s="29" t="s">
        <v>14</v>
      </c>
      <c r="B12" s="45">
        <v>232.66800000000001</v>
      </c>
      <c r="C12" s="45">
        <v>16.422000000000001</v>
      </c>
      <c r="D12" s="45">
        <v>3.5880000000000001</v>
      </c>
      <c r="E12" s="45">
        <v>0</v>
      </c>
      <c r="F12" s="45">
        <v>422.21100000000001</v>
      </c>
      <c r="G12" s="45">
        <v>13.869</v>
      </c>
      <c r="H12" s="45">
        <v>0</v>
      </c>
      <c r="I12" s="45">
        <v>0.13800000000000001</v>
      </c>
      <c r="J12" s="45">
        <v>0.89700000000000002</v>
      </c>
      <c r="K12" s="45">
        <v>0</v>
      </c>
      <c r="L12" s="45">
        <v>0.13800000000000001</v>
      </c>
      <c r="M12" s="46">
        <v>690</v>
      </c>
      <c r="O12" s="53" t="s">
        <v>61</v>
      </c>
      <c r="P12" s="53" t="s">
        <v>81</v>
      </c>
      <c r="Q12" s="53" t="s">
        <v>82</v>
      </c>
      <c r="R12" s="53" t="s">
        <v>83</v>
      </c>
      <c r="S12" s="54">
        <v>62.65</v>
      </c>
      <c r="T12" s="55">
        <v>698.68</v>
      </c>
      <c r="U12" s="56">
        <f>(T12*(F3+I3))/$M$18</f>
        <v>5.2852352415636483</v>
      </c>
      <c r="V12" s="55">
        <v>248.45</v>
      </c>
      <c r="W12" s="57">
        <f>(V12*(F3+I3))/$M$18</f>
        <v>1.8794250526227865</v>
      </c>
      <c r="X12" s="55">
        <v>17.8</v>
      </c>
      <c r="Y12" s="57">
        <f>(X12*(F3+I3))/$M$18</f>
        <v>0.13464989308386235</v>
      </c>
      <c r="Z12" s="55">
        <v>185.47</v>
      </c>
      <c r="AA12" s="57">
        <f>(Z12*(F3+I3))/$M$18</f>
        <v>1.4030064983294352</v>
      </c>
      <c r="AB12" s="58">
        <v>0</v>
      </c>
      <c r="AC12" s="57">
        <f>(AB12*(F3+I3))/$M$18</f>
        <v>0</v>
      </c>
    </row>
    <row r="13" spans="1:29" ht="15.6" x14ac:dyDescent="0.3">
      <c r="A13" s="29" t="s">
        <v>15</v>
      </c>
      <c r="B13" s="45">
        <v>17.160599999999999</v>
      </c>
      <c r="C13" s="45">
        <v>0.49580000000000002</v>
      </c>
      <c r="D13" s="45">
        <v>0</v>
      </c>
      <c r="E13" s="45">
        <v>0</v>
      </c>
      <c r="F13" s="45">
        <v>13.69</v>
      </c>
      <c r="G13" s="45">
        <v>5.6536</v>
      </c>
      <c r="H13" s="45">
        <v>0</v>
      </c>
      <c r="I13" s="45">
        <v>0</v>
      </c>
      <c r="J13" s="45">
        <v>0</v>
      </c>
      <c r="K13" s="45">
        <v>0</v>
      </c>
      <c r="L13" s="45">
        <v>0</v>
      </c>
      <c r="M13" s="46">
        <v>37</v>
      </c>
      <c r="O13" s="53" t="s">
        <v>61</v>
      </c>
      <c r="P13" s="53" t="s">
        <v>81</v>
      </c>
      <c r="Q13" s="53" t="s">
        <v>65</v>
      </c>
      <c r="R13" s="53" t="s">
        <v>66</v>
      </c>
      <c r="S13" s="54">
        <v>62.29</v>
      </c>
      <c r="T13" s="55">
        <v>683.49</v>
      </c>
      <c r="U13" s="56">
        <f>(T13*(F4+I4))/$M$18</f>
        <v>0.98502030270631458</v>
      </c>
      <c r="V13" s="55">
        <v>106.78</v>
      </c>
      <c r="W13" s="57">
        <f>(V13*(F4+I4))/$M$18</f>
        <v>0.15388735449381891</v>
      </c>
      <c r="X13" s="55">
        <v>10.91</v>
      </c>
      <c r="Y13" s="57">
        <f>(X13*(F4+I4))/$M$18</f>
        <v>1.5723085198797192E-2</v>
      </c>
      <c r="Z13" s="55">
        <v>184.41</v>
      </c>
      <c r="AA13" s="57">
        <f>(Z13*(H4+K4))/$M$18</f>
        <v>0</v>
      </c>
      <c r="AB13" s="58">
        <v>3.09</v>
      </c>
      <c r="AC13" s="57">
        <f>(AB13*(J4+M4))/$M$18</f>
        <v>4.3361176077514198E-2</v>
      </c>
    </row>
    <row r="14" spans="1:29" ht="15.6" x14ac:dyDescent="0.3">
      <c r="A14" s="29" t="s">
        <v>16</v>
      </c>
      <c r="B14" s="45">
        <v>0</v>
      </c>
      <c r="C14" s="45">
        <v>0</v>
      </c>
      <c r="D14" s="45">
        <v>0</v>
      </c>
      <c r="E14" s="45">
        <v>0</v>
      </c>
      <c r="F14" s="45">
        <v>0</v>
      </c>
      <c r="G14" s="45">
        <v>0</v>
      </c>
      <c r="H14" s="45">
        <v>0</v>
      </c>
      <c r="I14" s="45">
        <v>0</v>
      </c>
      <c r="J14" s="45">
        <v>0</v>
      </c>
      <c r="K14" s="45">
        <v>0</v>
      </c>
      <c r="L14" s="45">
        <v>0</v>
      </c>
      <c r="M14" s="46">
        <v>0</v>
      </c>
      <c r="O14" s="53" t="s">
        <v>61</v>
      </c>
      <c r="P14" s="53" t="s">
        <v>81</v>
      </c>
      <c r="Q14" s="53" t="s">
        <v>67</v>
      </c>
      <c r="R14" s="53" t="s">
        <v>68</v>
      </c>
      <c r="S14" s="54">
        <v>62.72</v>
      </c>
      <c r="T14" s="55">
        <v>990.57</v>
      </c>
      <c r="U14" s="56">
        <f>(T14*(F5+I5))/$M$18</f>
        <v>6.3146355283160718</v>
      </c>
      <c r="V14" s="55">
        <v>84.38</v>
      </c>
      <c r="W14" s="57">
        <f>(V14*(F5+I5))/$M$18</f>
        <v>0.53790135566321406</v>
      </c>
      <c r="X14" s="58">
        <v>4.4800000000000004</v>
      </c>
      <c r="Y14" s="57">
        <f>(X14*(F5+I5))/$M$18</f>
        <v>2.8558877380554633E-2</v>
      </c>
      <c r="Z14" s="55">
        <v>185.68</v>
      </c>
      <c r="AA14" s="57">
        <f>(Z14*(F5+I5))/$M$18</f>
        <v>1.1836634714333445</v>
      </c>
      <c r="AB14" s="58">
        <v>5.13</v>
      </c>
      <c r="AC14" s="57">
        <f>(AB14*(F5+I5))/$M$18</f>
        <v>3.2702464500501169E-2</v>
      </c>
    </row>
    <row r="15" spans="1:29" ht="15.6" x14ac:dyDescent="0.3">
      <c r="A15" s="29" t="s">
        <v>17</v>
      </c>
      <c r="B15" s="45">
        <v>0</v>
      </c>
      <c r="C15" s="45">
        <v>0</v>
      </c>
      <c r="D15" s="45">
        <v>0</v>
      </c>
      <c r="E15" s="45">
        <v>0</v>
      </c>
      <c r="F15" s="45">
        <v>0</v>
      </c>
      <c r="G15" s="45">
        <v>0</v>
      </c>
      <c r="H15" s="45">
        <v>0</v>
      </c>
      <c r="I15" s="45">
        <v>0</v>
      </c>
      <c r="J15" s="45">
        <v>0</v>
      </c>
      <c r="K15" s="45">
        <v>0</v>
      </c>
      <c r="L15" s="45">
        <v>0</v>
      </c>
      <c r="M15" s="46">
        <v>0</v>
      </c>
      <c r="O15" s="53" t="s">
        <v>61</v>
      </c>
      <c r="P15" s="53" t="s">
        <v>81</v>
      </c>
      <c r="Q15" s="53" t="s">
        <v>69</v>
      </c>
      <c r="R15" s="53" t="s">
        <v>70</v>
      </c>
      <c r="S15" s="54">
        <v>58.2</v>
      </c>
      <c r="T15" s="55">
        <v>938.01</v>
      </c>
      <c r="U15" s="56">
        <f>(T15*(F6+I6))/$M$18</f>
        <v>21.39360901328099</v>
      </c>
      <c r="V15" s="55">
        <v>68.099999999999994</v>
      </c>
      <c r="W15" s="57">
        <f>(V15*(F6+I6))/$M$18</f>
        <v>1.553186825091881</v>
      </c>
      <c r="X15" s="58">
        <v>3</v>
      </c>
      <c r="Y15" s="57">
        <f>(X15*(F6+I6))/$M$18</f>
        <v>6.8422327096558641E-2</v>
      </c>
      <c r="Z15" s="55">
        <v>172.28</v>
      </c>
      <c r="AA15" s="57">
        <f>(Z15*(F6+I6))/$M$18</f>
        <v>3.9292661707317076</v>
      </c>
      <c r="AB15" s="58">
        <v>7.69</v>
      </c>
      <c r="AC15" s="57">
        <f>(AB15*(F6+I6))/$M$18</f>
        <v>0.17538923179084531</v>
      </c>
    </row>
    <row r="16" spans="1:29" ht="22.8" x14ac:dyDescent="0.3">
      <c r="A16" s="29" t="s">
        <v>18</v>
      </c>
      <c r="B16" s="45">
        <v>0</v>
      </c>
      <c r="C16" s="45">
        <v>0</v>
      </c>
      <c r="D16" s="45">
        <v>0</v>
      </c>
      <c r="E16" s="45">
        <v>54</v>
      </c>
      <c r="F16" s="45">
        <v>0</v>
      </c>
      <c r="G16" s="45">
        <v>0</v>
      </c>
      <c r="H16" s="45">
        <v>0</v>
      </c>
      <c r="I16" s="45">
        <v>0</v>
      </c>
      <c r="J16" s="45">
        <v>0</v>
      </c>
      <c r="K16" s="45">
        <v>0</v>
      </c>
      <c r="L16" s="45">
        <v>0</v>
      </c>
      <c r="M16" s="46">
        <v>54</v>
      </c>
      <c r="O16" s="53" t="s">
        <v>61</v>
      </c>
      <c r="P16" s="53" t="s">
        <v>81</v>
      </c>
      <c r="Q16" s="53" t="s">
        <v>71</v>
      </c>
      <c r="R16" s="53" t="s">
        <v>72</v>
      </c>
      <c r="S16" s="54">
        <v>56.05</v>
      </c>
      <c r="T16" s="55">
        <v>614.99</v>
      </c>
      <c r="U16" s="56">
        <f>(T16*(F7+I7))/$M$18</f>
        <v>35.518662177413965</v>
      </c>
      <c r="V16" s="55">
        <v>65.37</v>
      </c>
      <c r="W16" s="57">
        <f>(V16*(F7+I7))/$M$18</f>
        <v>3.7754352860006684</v>
      </c>
      <c r="X16" s="58">
        <v>1.1000000000000001</v>
      </c>
      <c r="Y16" s="57">
        <f>(X16*(F7+I7))/$M$18</f>
        <v>6.3530347477447374E-2</v>
      </c>
      <c r="Z16" s="55">
        <v>165.92</v>
      </c>
      <c r="AA16" s="57">
        <f>(Z16*(F7+I7))/$M$18</f>
        <v>9.5826865940527881</v>
      </c>
      <c r="AB16" s="58">
        <v>7.63</v>
      </c>
      <c r="AC16" s="57">
        <f>(AB16*(F7+I7))/$M$18</f>
        <v>0.44066959204811224</v>
      </c>
    </row>
    <row r="17" spans="1:29" ht="15.6" x14ac:dyDescent="0.3">
      <c r="A17" s="29" t="s">
        <v>19</v>
      </c>
      <c r="B17" s="45">
        <v>0</v>
      </c>
      <c r="C17" s="45">
        <v>0</v>
      </c>
      <c r="D17" s="45">
        <v>0</v>
      </c>
      <c r="E17" s="45">
        <v>0</v>
      </c>
      <c r="F17" s="45">
        <v>0</v>
      </c>
      <c r="G17" s="45">
        <v>0</v>
      </c>
      <c r="H17" s="45">
        <v>0</v>
      </c>
      <c r="I17" s="45">
        <v>0</v>
      </c>
      <c r="J17" s="45">
        <v>0</v>
      </c>
      <c r="K17" s="45">
        <v>0</v>
      </c>
      <c r="L17" s="45">
        <v>0</v>
      </c>
      <c r="M17" s="46">
        <v>0</v>
      </c>
      <c r="O17" s="53" t="s">
        <v>61</v>
      </c>
      <c r="P17" s="53" t="s">
        <v>81</v>
      </c>
      <c r="Q17" s="53" t="s">
        <v>73</v>
      </c>
      <c r="R17" s="53" t="s">
        <v>74</v>
      </c>
      <c r="S17" s="54">
        <v>55.29</v>
      </c>
      <c r="T17" s="55">
        <v>637.27</v>
      </c>
      <c r="U17" s="56">
        <f>(T17*(F8+F9+I8+I9))/$M$18</f>
        <v>56.327710834196452</v>
      </c>
      <c r="V17" s="55">
        <v>30.07</v>
      </c>
      <c r="W17" s="57">
        <f>(V17*(F8+F9+I8+I9))/$M$18</f>
        <v>2.657859721600401</v>
      </c>
      <c r="X17" s="58">
        <v>7.0000000000000007E-2</v>
      </c>
      <c r="Y17" s="57">
        <f>(X17*(F8+F9+I8+I9))/$M$18</f>
        <v>6.1872358002004677E-3</v>
      </c>
      <c r="Z17" s="55">
        <v>163.69</v>
      </c>
      <c r="AA17" s="57">
        <f>(Z17*(F8+F9+I8+I9))/$M$18</f>
        <v>14.468408973354492</v>
      </c>
      <c r="AB17" s="58">
        <v>7.63</v>
      </c>
      <c r="AC17" s="57">
        <f>(AB17*(F8+F9+I8+I9))/$M$18</f>
        <v>0.6744087022218509</v>
      </c>
    </row>
    <row r="18" spans="1:29" ht="15.6" x14ac:dyDescent="0.3">
      <c r="A18" s="29" t="s">
        <v>20</v>
      </c>
      <c r="B18" s="45">
        <v>6320.5841</v>
      </c>
      <c r="C18" s="45">
        <v>507.0788</v>
      </c>
      <c r="D18" s="45">
        <v>39.227499999999999</v>
      </c>
      <c r="E18" s="45">
        <v>54</v>
      </c>
      <c r="F18" s="45">
        <v>3942.6125999999999</v>
      </c>
      <c r="G18" s="45">
        <v>1013.9456</v>
      </c>
      <c r="H18" s="45">
        <v>0.18160000000000001</v>
      </c>
      <c r="I18" s="45">
        <v>79.469099999999997</v>
      </c>
      <c r="J18" s="45">
        <v>14.2439</v>
      </c>
      <c r="K18" s="45">
        <v>0.33479999999999999</v>
      </c>
      <c r="L18" s="45">
        <v>0.13800000000000001</v>
      </c>
      <c r="M18" s="37">
        <v>11972</v>
      </c>
      <c r="O18" s="53" t="s">
        <v>61</v>
      </c>
      <c r="P18" s="53" t="s">
        <v>81</v>
      </c>
      <c r="Q18" s="53" t="s">
        <v>75</v>
      </c>
      <c r="R18" s="53" t="s">
        <v>76</v>
      </c>
      <c r="S18" s="54">
        <v>55.2</v>
      </c>
      <c r="T18" s="55">
        <v>513.72</v>
      </c>
      <c r="U18" s="56">
        <f>(T18*(F10+F11+F12+F13+I10+I11+I12+I13))/$M$18</f>
        <v>77.893039587704649</v>
      </c>
      <c r="V18" s="55">
        <v>30.47</v>
      </c>
      <c r="W18" s="57">
        <f>(V18*(F10+F11+F12+F13+I10+I11+I12+I13))/$M$18</f>
        <v>4.6200282570998992</v>
      </c>
      <c r="X18" s="58">
        <v>7.0000000000000007E-2</v>
      </c>
      <c r="Y18" s="57">
        <f>(X18*(F10+F11+F12+F13+I10+I11+I12+I13))/$M$18</f>
        <v>1.0613783327764786E-2</v>
      </c>
      <c r="Z18" s="55">
        <v>163.41999999999999</v>
      </c>
      <c r="AA18" s="57">
        <f>(Z18*(F10+F11+F12+F13+I10+I11+I12+I13))/$M$18</f>
        <v>24.778635306047441</v>
      </c>
      <c r="AB18" s="58">
        <v>6.77</v>
      </c>
      <c r="AC18" s="57">
        <f>(AB18*(F10+F11+F12+F13+I10+I11+I12+I13))/$M$18</f>
        <v>1.0265044732709654</v>
      </c>
    </row>
    <row r="19" spans="1:29" ht="15.6" x14ac:dyDescent="0.3">
      <c r="O19" s="53" t="s">
        <v>61</v>
      </c>
      <c r="P19" s="53" t="s">
        <v>81</v>
      </c>
      <c r="Q19" s="53" t="s">
        <v>77</v>
      </c>
      <c r="R19" s="53" t="s">
        <v>84</v>
      </c>
      <c r="S19" s="54">
        <v>55.2</v>
      </c>
      <c r="T19" s="55">
        <v>81.19</v>
      </c>
      <c r="U19" s="56">
        <f>(T19*(F10+I10))/$M$18</f>
        <v>9.353405381556966</v>
      </c>
      <c r="V19" s="55">
        <v>30.47</v>
      </c>
      <c r="W19" s="57">
        <f>(V19*(F10+I10))/$M$18</f>
        <v>3.5102631109254925</v>
      </c>
      <c r="X19" s="58">
        <v>7.0000000000000007E-2</v>
      </c>
      <c r="Y19" s="57">
        <f>(X19*(F10+I10))/$M$18</f>
        <v>8.0642736384898099E-3</v>
      </c>
      <c r="Z19" s="55">
        <v>163.41999999999999</v>
      </c>
      <c r="AA19" s="57">
        <f>(Z19*(F10+I10))/$M$18</f>
        <v>18.826622828600065</v>
      </c>
      <c r="AB19" s="58">
        <v>6.77</v>
      </c>
      <c r="AC19" s="57">
        <f>(AB19*(F10+I10))/$M$18</f>
        <v>0.77993046475108574</v>
      </c>
    </row>
    <row r="20" spans="1:29" ht="15.6" x14ac:dyDescent="0.3">
      <c r="O20" s="53" t="s">
        <v>61</v>
      </c>
      <c r="P20" s="53" t="s">
        <v>81</v>
      </c>
      <c r="Q20" s="53" t="s">
        <v>85</v>
      </c>
      <c r="R20" s="53" t="s">
        <v>80</v>
      </c>
      <c r="S20" s="54">
        <v>55.2</v>
      </c>
      <c r="T20" s="55">
        <v>69.22</v>
      </c>
      <c r="U20" s="56">
        <f>(T20*(F15+I15))/$M$18</f>
        <v>0</v>
      </c>
      <c r="V20" s="55">
        <v>30.47</v>
      </c>
      <c r="W20" s="57">
        <f>(V20*(F15+I15))/$M$18</f>
        <v>0</v>
      </c>
      <c r="X20" s="58">
        <v>7.0000000000000007E-2</v>
      </c>
      <c r="Y20" s="57">
        <f>(X20*(F15+I15))/$M$18</f>
        <v>0</v>
      </c>
      <c r="Z20" s="55">
        <v>163.41999999999999</v>
      </c>
      <c r="AA20" s="57">
        <f>(Z20*(F15+I15))/$M$18</f>
        <v>0</v>
      </c>
      <c r="AB20" s="58">
        <v>6.77</v>
      </c>
      <c r="AC20" s="57">
        <f>(AB20*(F15+I15))/$M$18</f>
        <v>0</v>
      </c>
    </row>
    <row r="21" spans="1:29" ht="15.6" x14ac:dyDescent="0.3">
      <c r="O21" s="53" t="s">
        <v>61</v>
      </c>
      <c r="P21" s="53" t="s">
        <v>86</v>
      </c>
      <c r="Q21" s="53" t="s">
        <v>82</v>
      </c>
      <c r="R21" s="53" t="s">
        <v>83</v>
      </c>
      <c r="S21" s="54">
        <v>58.18</v>
      </c>
      <c r="T21" s="55">
        <v>2364.37</v>
      </c>
      <c r="U21" s="56">
        <f>(T21*(C3+H3))/$M$18</f>
        <v>5.107785718426328</v>
      </c>
      <c r="V21" s="55">
        <v>31.06</v>
      </c>
      <c r="W21" s="57">
        <f>(V21*(C3+H3))/$M$18</f>
        <v>6.7099406782492474E-2</v>
      </c>
      <c r="X21" s="55">
        <v>51.41</v>
      </c>
      <c r="Y21" s="57">
        <f>(X21*(C3+H3))/$M$18</f>
        <v>0.11106183202472433</v>
      </c>
      <c r="Z21" s="55">
        <v>174.65</v>
      </c>
      <c r="AA21" s="57">
        <f>(Z21*(C3+H3))/$M$18</f>
        <v>0.37729914341797527</v>
      </c>
      <c r="AB21" s="58">
        <v>0</v>
      </c>
      <c r="AC21" s="57">
        <f>(AB21*(C3+H3))/$M$18</f>
        <v>0</v>
      </c>
    </row>
    <row r="22" spans="1:29" ht="15.6" x14ac:dyDescent="0.3">
      <c r="A22" s="59" t="s">
        <v>87</v>
      </c>
      <c r="O22" s="53" t="s">
        <v>61</v>
      </c>
      <c r="P22" s="53" t="s">
        <v>86</v>
      </c>
      <c r="Q22" s="53" t="s">
        <v>65</v>
      </c>
      <c r="R22" s="53" t="s">
        <v>66</v>
      </c>
      <c r="S22" s="54">
        <v>58.03</v>
      </c>
      <c r="T22" s="55">
        <v>428.49</v>
      </c>
      <c r="U22" s="56">
        <f>(T22*(C4+H4))/$M$18</f>
        <v>0.28501098964249916</v>
      </c>
      <c r="V22" s="55">
        <v>31.99</v>
      </c>
      <c r="W22" s="57">
        <f>(V22*(C4+H4))/$M$18</f>
        <v>2.1278213164049448E-2</v>
      </c>
      <c r="X22" s="55">
        <v>51.46</v>
      </c>
      <c r="Y22" s="57">
        <f>(X22*(C4+H4))/$M$18</f>
        <v>3.4228723020380887E-2</v>
      </c>
      <c r="Z22" s="55">
        <v>174.19</v>
      </c>
      <c r="AA22" s="57">
        <f>(Z22*(C4+H4))/$M$18</f>
        <v>0.11586283060474439</v>
      </c>
      <c r="AB22" s="55">
        <v>20.03</v>
      </c>
      <c r="AC22" s="57">
        <f>(AB22*(C4+H4))/$M$18</f>
        <v>1.3322994988306048E-2</v>
      </c>
    </row>
    <row r="23" spans="1:29" ht="15.6" x14ac:dyDescent="0.3">
      <c r="A23" s="60" t="s">
        <v>88</v>
      </c>
      <c r="F23" s="41">
        <v>2</v>
      </c>
      <c r="O23" s="53" t="s">
        <v>61</v>
      </c>
      <c r="P23" s="53" t="s">
        <v>86</v>
      </c>
      <c r="Q23" s="53" t="s">
        <v>67</v>
      </c>
      <c r="R23" s="53" t="s">
        <v>68</v>
      </c>
      <c r="S23" s="54">
        <v>57.98</v>
      </c>
      <c r="T23" s="55">
        <v>189.2</v>
      </c>
      <c r="U23" s="56">
        <f>(T23*(C5+H5))/$M$18</f>
        <v>0.17773453057133309</v>
      </c>
      <c r="V23" s="55">
        <v>31.75</v>
      </c>
      <c r="W23" s="57">
        <f>(V23*(C5+H5))/$M$18</f>
        <v>2.9825958486468424E-2</v>
      </c>
      <c r="X23" s="55">
        <v>12.35</v>
      </c>
      <c r="Y23" s="57">
        <f>(X23*(C5+H5))/$M$18</f>
        <v>1.1601593301035749E-2</v>
      </c>
      <c r="Z23" s="55">
        <v>174.04</v>
      </c>
      <c r="AA23" s="57">
        <f>(Z23*(C5+H5))/$M$18</f>
        <v>0.16349322251921147</v>
      </c>
      <c r="AB23" s="58">
        <v>9.5299999999999994</v>
      </c>
      <c r="AC23" s="57">
        <f>(AB23*(C5+H5))/$M$18</f>
        <v>8.9524845472769791E-3</v>
      </c>
    </row>
    <row r="24" spans="1:29" ht="15.6" x14ac:dyDescent="0.3">
      <c r="A24" s="60" t="s">
        <v>89</v>
      </c>
      <c r="F24" s="41">
        <v>2</v>
      </c>
      <c r="O24" s="53" t="s">
        <v>61</v>
      </c>
      <c r="P24" s="53" t="s">
        <v>86</v>
      </c>
      <c r="Q24" s="53" t="s">
        <v>69</v>
      </c>
      <c r="R24" s="53" t="s">
        <v>70</v>
      </c>
      <c r="S24" s="54">
        <v>57.82</v>
      </c>
      <c r="T24" s="55">
        <v>103.62</v>
      </c>
      <c r="U24" s="56">
        <f>(T24*(C6+H6))/$M$18</f>
        <v>6.5597726361510192E-2</v>
      </c>
      <c r="V24" s="55">
        <v>29.73</v>
      </c>
      <c r="W24" s="57">
        <f>(V24*(C6+H6))/$M$18</f>
        <v>1.8820887905111928E-2</v>
      </c>
      <c r="X24" s="58">
        <v>2.69</v>
      </c>
      <c r="Y24" s="57">
        <f>(X24*(C6+H6))/$M$18</f>
        <v>1.7029326762445706E-3</v>
      </c>
      <c r="Z24" s="55">
        <v>173.55</v>
      </c>
      <c r="AA24" s="57">
        <f>(Z24*(C6+H6))/$M$18</f>
        <v>0.10986764533912463</v>
      </c>
      <c r="AB24" s="58">
        <v>4.12</v>
      </c>
      <c r="AC24" s="57">
        <f>(AB24*(C6+H6))/$M$18</f>
        <v>2.6082091546942867E-3</v>
      </c>
    </row>
    <row r="25" spans="1:29" ht="15.6" x14ac:dyDescent="0.3">
      <c r="A25" s="60" t="s">
        <v>90</v>
      </c>
      <c r="F25" s="41">
        <v>2</v>
      </c>
      <c r="O25" s="53" t="s">
        <v>61</v>
      </c>
      <c r="P25" s="53" t="s">
        <v>86</v>
      </c>
      <c r="Q25" s="53" t="s">
        <v>71</v>
      </c>
      <c r="R25" s="53" t="s">
        <v>72</v>
      </c>
      <c r="S25" s="54">
        <v>57.22</v>
      </c>
      <c r="T25" s="55">
        <v>62.69</v>
      </c>
      <c r="U25" s="56">
        <f>(T25*(C7+H7))/$M$18</f>
        <v>0.70748377447377209</v>
      </c>
      <c r="V25" s="55">
        <v>27.67</v>
      </c>
      <c r="W25" s="57">
        <f>(V25*(C7+H7))/$M$18</f>
        <v>0.31226792215168725</v>
      </c>
      <c r="X25" s="58">
        <v>1.89</v>
      </c>
      <c r="Y25" s="57">
        <f>(X25*(C7+H7))/$M$18</f>
        <v>2.1329467758102235E-2</v>
      </c>
      <c r="Z25" s="55">
        <v>171.75</v>
      </c>
      <c r="AA25" s="57">
        <f>(Z25*(C7+H7))/$M$18</f>
        <v>1.9382730621450048</v>
      </c>
      <c r="AB25" s="58">
        <v>4.0999999999999996</v>
      </c>
      <c r="AC25" s="57">
        <f>(AB25*(C7+H7))/$M$18</f>
        <v>4.6270273972602728E-2</v>
      </c>
    </row>
    <row r="26" spans="1:29" ht="15.6" x14ac:dyDescent="0.3">
      <c r="A26" s="60" t="s">
        <v>91</v>
      </c>
      <c r="F26" s="41">
        <v>1</v>
      </c>
      <c r="O26" s="53" t="s">
        <v>61</v>
      </c>
      <c r="P26" s="53" t="s">
        <v>86</v>
      </c>
      <c r="Q26" s="53" t="s">
        <v>73</v>
      </c>
      <c r="R26" s="53" t="s">
        <v>74</v>
      </c>
      <c r="S26" s="54">
        <v>57.14</v>
      </c>
      <c r="T26" s="55">
        <v>51.38</v>
      </c>
      <c r="U26" s="56">
        <f>(T26*($C$8+$H$8+$C$9+$H$9))/$M$18</f>
        <v>0.36777771383227531</v>
      </c>
      <c r="V26" s="55">
        <v>27.64</v>
      </c>
      <c r="W26" s="56">
        <f>(V26*($C$8+$H$8+$C$9+$H$9))/$M$18</f>
        <v>0.19784694453725357</v>
      </c>
      <c r="X26" s="58">
        <v>1.89</v>
      </c>
      <c r="Y26" s="56">
        <f>(X26*($C$8+$H$8+$C$9+$H$9))/$M$18</f>
        <v>1.3528608002004675E-2</v>
      </c>
      <c r="Z26" s="55">
        <v>171.52</v>
      </c>
      <c r="AA26" s="56">
        <f>(Z26*($C$8+$H$8+$C$9+$H$9))/$M$18</f>
        <v>1.2277390711660541</v>
      </c>
      <c r="AB26" s="58">
        <v>1.06</v>
      </c>
      <c r="AC26" s="56">
        <f>(AB26*($C$8+$H$8+$C$9+$H$9))/$M$18</f>
        <v>7.5874732709655867E-3</v>
      </c>
    </row>
    <row r="27" spans="1:29" ht="15.6" x14ac:dyDescent="0.3">
      <c r="A27" s="60" t="s">
        <v>92</v>
      </c>
      <c r="F27" s="41">
        <v>2</v>
      </c>
      <c r="O27" s="53" t="s">
        <v>61</v>
      </c>
      <c r="P27" s="53" t="s">
        <v>86</v>
      </c>
      <c r="Q27" s="53" t="s">
        <v>75</v>
      </c>
      <c r="R27" s="53" t="s">
        <v>93</v>
      </c>
      <c r="S27" s="54">
        <v>52.84</v>
      </c>
      <c r="T27" s="55">
        <v>21.11</v>
      </c>
      <c r="U27" s="56">
        <f>(T27*($C$10+$C$11+$C$12+$C$13+$C$14+$C$15+$H$10+$H$11+$H$12+$H$13+$H$14+$H$15))/$M$18</f>
        <v>0.41226161936184424</v>
      </c>
      <c r="V27" s="55">
        <v>27.48</v>
      </c>
      <c r="W27" s="56">
        <f>(V27*($C$10+$C$11+$C$12+$C$13+$C$14+$C$15+$H$10+$H$11+$H$12+$H$13+$H$14+$H$15))/$M$18</f>
        <v>0.53666268593384558</v>
      </c>
      <c r="X27" s="58">
        <v>0.46</v>
      </c>
      <c r="Y27" s="56">
        <f>(X27*($C$10+$C$11+$C$12+$C$13+$C$14+$C$15+$H$10+$H$11+$H$12+$H$13+$H$14+$H$15))/$M$18</f>
        <v>8.9834365185432665E-3</v>
      </c>
      <c r="Z27" s="55">
        <v>158.61000000000001</v>
      </c>
      <c r="AA27" s="56">
        <f>(Z27*($C$10+$C$11+$C$12+$C$13+$C$14+$C$15+$H$10+$H$11+$H$12+$H$13+$H$14+$H$15))/$M$18</f>
        <v>3.0975279700133642</v>
      </c>
      <c r="AB27" s="58">
        <v>1.06</v>
      </c>
      <c r="AC27" s="56">
        <f>(AB27*($C$10+$C$11+$C$12+$C$13+$C$14+$C$15+$H$10+$H$11+$H$12+$H$13+$H$14+$H$15))/$M$18</f>
        <v>2.0700962412295354E-2</v>
      </c>
    </row>
    <row r="28" spans="1:29" ht="15.6" x14ac:dyDescent="0.3">
      <c r="A28" s="60" t="s">
        <v>94</v>
      </c>
      <c r="F28" s="41">
        <v>2</v>
      </c>
      <c r="O28" s="53" t="s">
        <v>61</v>
      </c>
      <c r="P28" s="53" t="s">
        <v>95</v>
      </c>
      <c r="Q28" s="53" t="s">
        <v>82</v>
      </c>
      <c r="R28" s="53" t="s">
        <v>83</v>
      </c>
      <c r="S28" s="54">
        <v>62.01</v>
      </c>
      <c r="T28" s="55">
        <v>2364.15</v>
      </c>
      <c r="U28" s="56">
        <f>(T28*(D3+J3))/$M$18</f>
        <v>0.14875661501837623</v>
      </c>
      <c r="V28" s="55">
        <v>30.71</v>
      </c>
      <c r="W28" s="57">
        <f>(V28*(D3+J3))/$M$18</f>
        <v>1.9323290177079852E-3</v>
      </c>
      <c r="X28" s="55">
        <v>53.23</v>
      </c>
      <c r="Y28" s="57">
        <f>(X28*(D3+J3))/$M$18</f>
        <v>3.3493283494821246E-3</v>
      </c>
      <c r="Z28" s="55">
        <v>171.2</v>
      </c>
      <c r="AA28" s="57">
        <f>(Z28*(D3+J3))/$M$18</f>
        <v>1.0772215168727029E-2</v>
      </c>
      <c r="AB28" s="58">
        <v>7.9</v>
      </c>
      <c r="AC28" s="57">
        <f>(AB28*(D3+J3))/$M$18</f>
        <v>4.9708235883728696E-4</v>
      </c>
    </row>
    <row r="29" spans="1:29" ht="15.6" x14ac:dyDescent="0.3">
      <c r="A29" s="60"/>
      <c r="O29" s="53" t="s">
        <v>61</v>
      </c>
      <c r="P29" s="53" t="s">
        <v>95</v>
      </c>
      <c r="Q29" s="53" t="s">
        <v>65</v>
      </c>
      <c r="R29" s="53" t="s">
        <v>66</v>
      </c>
      <c r="S29" s="54">
        <v>61.86</v>
      </c>
      <c r="T29" s="55">
        <v>427.98</v>
      </c>
      <c r="U29" s="56">
        <f>(T29*(D4+J4))/$M$18</f>
        <v>2.1620640160374207E-2</v>
      </c>
      <c r="V29" s="55">
        <v>31.4</v>
      </c>
      <c r="W29" s="57">
        <f>(V29*(D4+J4))/$M$18</f>
        <v>1.5862612763113933E-3</v>
      </c>
      <c r="X29" s="55">
        <v>72.91</v>
      </c>
      <c r="Y29" s="57">
        <f>(X29*(D4+J4))/$M$18</f>
        <v>3.6832582692950216E-3</v>
      </c>
      <c r="Z29" s="55">
        <v>170.78</v>
      </c>
      <c r="AA29" s="57">
        <f>(Z29*(D4+J4))/$M$18</f>
        <v>8.627442699632476E-3</v>
      </c>
      <c r="AB29" s="55">
        <v>14.64</v>
      </c>
      <c r="AC29" s="57">
        <f>(AB29*(D4+J4))/$M$18</f>
        <v>7.3958169061142667E-4</v>
      </c>
    </row>
    <row r="30" spans="1:29" ht="15.6" x14ac:dyDescent="0.3">
      <c r="A30" s="59" t="s">
        <v>96</v>
      </c>
      <c r="O30" s="53" t="s">
        <v>61</v>
      </c>
      <c r="P30" s="53" t="s">
        <v>95</v>
      </c>
      <c r="Q30" s="53" t="s">
        <v>67</v>
      </c>
      <c r="R30" s="53" t="s">
        <v>68</v>
      </c>
      <c r="S30" s="54">
        <v>61.71</v>
      </c>
      <c r="T30" s="55">
        <v>189.05</v>
      </c>
      <c r="U30" s="56">
        <f>(T30*($D$5+$J$5+$D$6+$J$6))/$M$18</f>
        <v>2.2663260942198466E-2</v>
      </c>
      <c r="V30" s="55">
        <v>30.87</v>
      </c>
      <c r="W30" s="56">
        <f>(V30*($D$5+$J$5+$D$6+$J$6))/$M$18</f>
        <v>3.7006869361844307E-3</v>
      </c>
      <c r="X30" s="55">
        <v>34.130000000000003</v>
      </c>
      <c r="Y30" s="56">
        <f>(X30*($D$5+$J$5+$D$6+$J$6))/$M$18</f>
        <v>4.0914948212495833E-3</v>
      </c>
      <c r="Z30" s="55">
        <v>170.37</v>
      </c>
      <c r="AA30" s="56">
        <f>(Z30*($D$5+$J$5+$D$6+$J$6))/$M$18</f>
        <v>2.0423907784831274E-2</v>
      </c>
      <c r="AB30" s="58">
        <v>7.32</v>
      </c>
      <c r="AC30" s="56">
        <f>(AB30*($D$5+$J$5+$D$6+$J$6))/$M$18</f>
        <v>8.7751954560641508E-4</v>
      </c>
    </row>
    <row r="31" spans="1:29" ht="15.6" x14ac:dyDescent="0.3">
      <c r="A31" s="60" t="s">
        <v>97</v>
      </c>
      <c r="O31" s="53" t="s">
        <v>61</v>
      </c>
      <c r="P31" s="53" t="s">
        <v>95</v>
      </c>
      <c r="Q31" s="53" t="s">
        <v>71</v>
      </c>
      <c r="R31" s="53" t="s">
        <v>72</v>
      </c>
      <c r="S31" s="54">
        <v>61.15</v>
      </c>
      <c r="T31" s="55">
        <v>62.74</v>
      </c>
      <c r="U31" s="56">
        <f>(T31*($D$7+$J$7))/$M$18</f>
        <v>6.5289009021049116E-2</v>
      </c>
      <c r="V31" s="55">
        <v>27.92</v>
      </c>
      <c r="W31" s="56">
        <f>(V31*($D$7+$J$7))/$M$18</f>
        <v>2.9054337454059477E-2</v>
      </c>
      <c r="X31" s="55">
        <v>57.42</v>
      </c>
      <c r="Y31" s="56">
        <f>(X31*($D$7+$J$7))/$M$18</f>
        <v>5.9752867357166728E-2</v>
      </c>
      <c r="Z31" s="55">
        <v>168.8</v>
      </c>
      <c r="AA31" s="56">
        <f>(Z31*($D$7+$J$7))/$M$18</f>
        <v>0.17565802873371203</v>
      </c>
      <c r="AB31" s="58">
        <v>1.86</v>
      </c>
      <c r="AC31" s="56">
        <f>(AB31*($D$7+$J$7))/$M$18</f>
        <v>1.9355683260942201E-3</v>
      </c>
    </row>
    <row r="32" spans="1:29" ht="15.6" x14ac:dyDescent="0.3">
      <c r="A32" s="60" t="s">
        <v>98</v>
      </c>
      <c r="O32" s="53" t="s">
        <v>61</v>
      </c>
      <c r="P32" s="53" t="s">
        <v>95</v>
      </c>
      <c r="Q32" s="53" t="s">
        <v>73</v>
      </c>
      <c r="R32" s="53" t="s">
        <v>74</v>
      </c>
      <c r="S32" s="54">
        <v>60.87</v>
      </c>
      <c r="T32" s="55">
        <v>51.42</v>
      </c>
      <c r="U32" s="56">
        <f>(T32*($D$8+$D$9+$J$8+$J$9))/$M$18</f>
        <v>6.4337707317073181E-2</v>
      </c>
      <c r="V32" s="55">
        <v>27.11</v>
      </c>
      <c r="W32" s="56">
        <f>(V32*($D$8+$D$9+$J$8+$J$9))/$M$18</f>
        <v>3.3920560975609762E-2</v>
      </c>
      <c r="X32" s="55">
        <v>57.42</v>
      </c>
      <c r="Y32" s="56">
        <f>(X32*($D$8+$D$9+$J$8+$J$9))/$M$18</f>
        <v>7.1845024390243914E-2</v>
      </c>
      <c r="Z32" s="55">
        <v>168.04</v>
      </c>
      <c r="AA32" s="56">
        <f>(Z32*($D$8+$D$9+$J$8+$J$9))/$M$18</f>
        <v>0.2102549268292683</v>
      </c>
      <c r="AB32" s="58">
        <v>1.1000000000000001</v>
      </c>
      <c r="AC32" s="56">
        <f>(AB32*($D$8+$D$9+$J$8+$J$9))/$M$18</f>
        <v>1.3763414634146345E-3</v>
      </c>
    </row>
    <row r="33" spans="1:29" ht="15.6" x14ac:dyDescent="0.3">
      <c r="A33" s="60" t="s">
        <v>99</v>
      </c>
      <c r="O33" s="53" t="s">
        <v>61</v>
      </c>
      <c r="P33" s="53" t="s">
        <v>95</v>
      </c>
      <c r="Q33" s="53" t="s">
        <v>75</v>
      </c>
      <c r="R33" s="53" t="s">
        <v>76</v>
      </c>
      <c r="S33" s="54">
        <v>60.96</v>
      </c>
      <c r="T33" s="55">
        <v>35.47</v>
      </c>
      <c r="U33" s="56">
        <f>(T33*($D$10+$D$11+$D$12+$D$13+$D$14+$D$15+$J$10+$J$11+$J$12+$J$13+$J$14+$J$15))/$M$18</f>
        <v>6.8854522803207474E-2</v>
      </c>
      <c r="V33" s="55">
        <v>27.45</v>
      </c>
      <c r="W33" s="56">
        <f>(V33*($D$10+$D$11+$D$12+$D$13+$D$14+$D$15+$J$10+$J$11+$J$12+$J$13+$J$14+$J$15))/$M$18</f>
        <v>5.3286062896759093E-2</v>
      </c>
      <c r="X33" s="55">
        <v>57.42</v>
      </c>
      <c r="Y33" s="56">
        <f>(X33*($D$10+$D$11+$D$12+$D$13+$D$14+$D$15+$J$10+$J$11+$J$12+$J$13+$J$14+$J$15))/$M$18</f>
        <v>0.11146396107584362</v>
      </c>
      <c r="Z33" s="55">
        <v>168.28</v>
      </c>
      <c r="AA33" s="56">
        <f>(Z33*($D$10+$D$11+$D$12+$D$13+$D$14+$D$15+$J$10+$J$11+$J$12+$J$13+$J$14+$J$15))/$M$18</f>
        <v>0.32666588940862007</v>
      </c>
      <c r="AB33" s="58">
        <v>1.08</v>
      </c>
      <c r="AC33" s="56">
        <f>(AB33*($D$10+$D$11+$D$12+$D$13+$D$14+$D$15+$J$10+$J$11+$J$12+$J$13+$J$14+$J$15))/$M$18</f>
        <v>2.0965008352823254E-3</v>
      </c>
    </row>
    <row r="34" spans="1:29" ht="15.6" x14ac:dyDescent="0.3">
      <c r="A34" s="60" t="s">
        <v>100</v>
      </c>
      <c r="O34" s="53" t="s">
        <v>61</v>
      </c>
      <c r="P34" s="53" t="s">
        <v>101</v>
      </c>
      <c r="Q34" s="53"/>
      <c r="R34" s="53"/>
      <c r="S34" s="61"/>
      <c r="T34" s="55"/>
      <c r="U34" s="56">
        <f>(T34*$E$16)/$M$18</f>
        <v>0</v>
      </c>
      <c r="V34" s="55">
        <v>22.08</v>
      </c>
      <c r="W34" s="56">
        <f>(V34*$E$16)/$M$18</f>
        <v>9.9592382225192108E-2</v>
      </c>
      <c r="X34" s="55"/>
      <c r="Y34" s="56">
        <f>(X34*$E$16)/$M$18</f>
        <v>0</v>
      </c>
      <c r="Z34" s="55"/>
      <c r="AA34" s="56">
        <f>(Z34*$E$16)/$M$18</f>
        <v>0</v>
      </c>
      <c r="AB34" s="55"/>
      <c r="AC34" s="56">
        <f>(AB34*$E$16)/$M$18</f>
        <v>0</v>
      </c>
    </row>
    <row r="35" spans="1:29" ht="13.2" x14ac:dyDescent="0.25">
      <c r="O35" s="62" t="s">
        <v>102</v>
      </c>
      <c r="P35" s="62"/>
      <c r="Q35" s="62"/>
      <c r="R35" s="62"/>
      <c r="S35" s="62"/>
      <c r="T35" s="62"/>
      <c r="U35" s="62">
        <f>SUM(U3:U34)</f>
        <v>391.41949954685936</v>
      </c>
      <c r="V35" s="62"/>
      <c r="W35" s="62">
        <f>SUM(W3:W34)</f>
        <v>36.844568290761771</v>
      </c>
      <c r="X35" s="62"/>
      <c r="Y35" s="62">
        <f>SUM(Y3:Y34)</f>
        <v>18.334482234964923</v>
      </c>
      <c r="Z35" s="62"/>
      <c r="AA35" s="62">
        <f>SUM(AA3:AA34)</f>
        <v>194.04235910750086</v>
      </c>
      <c r="AB35" s="62"/>
      <c r="AC35" s="62">
        <f>SUM(AC3:AC34)</f>
        <v>4.8191104377714664</v>
      </c>
    </row>
    <row r="36" spans="1:29" ht="15.6" x14ac:dyDescent="0.25">
      <c r="B36" s="63" t="s">
        <v>49</v>
      </c>
      <c r="C36" s="63" t="s">
        <v>51</v>
      </c>
      <c r="D36" s="49" t="s">
        <v>53</v>
      </c>
      <c r="E36" s="49" t="s">
        <v>55</v>
      </c>
      <c r="F36" s="49" t="s">
        <v>57</v>
      </c>
    </row>
    <row r="37" spans="1:29" ht="15.6" x14ac:dyDescent="0.3">
      <c r="B37" s="52" t="s">
        <v>60</v>
      </c>
      <c r="C37" s="52" t="s">
        <v>60</v>
      </c>
      <c r="D37" s="51" t="s">
        <v>60</v>
      </c>
      <c r="E37" s="51" t="s">
        <v>59</v>
      </c>
      <c r="F37" s="51" t="s">
        <v>60</v>
      </c>
    </row>
    <row r="38" spans="1:29" ht="26.4" x14ac:dyDescent="0.25">
      <c r="A38" s="64" t="s">
        <v>102</v>
      </c>
      <c r="B38" s="65">
        <f>U35</f>
        <v>391.41949954685936</v>
      </c>
      <c r="C38" s="65">
        <f>W35</f>
        <v>36.844568290761771</v>
      </c>
      <c r="D38" s="65">
        <f>Y35</f>
        <v>18.334482234964923</v>
      </c>
      <c r="E38" s="65">
        <f>AA35</f>
        <v>194.04235910750086</v>
      </c>
      <c r="F38" s="65">
        <f>AC35</f>
        <v>4.8191104377714664</v>
      </c>
    </row>
  </sheetData>
  <mergeCells count="4">
    <mergeCell ref="O1:O2"/>
    <mergeCell ref="P1:P2"/>
    <mergeCell ref="Q1:Q2"/>
    <mergeCell ref="R1:R2"/>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6"/>
  <sheetViews>
    <sheetView topLeftCell="A16" zoomScale="80" zoomScaleNormal="80" workbookViewId="0">
      <selection activeCell="A28" sqref="A28"/>
    </sheetView>
  </sheetViews>
  <sheetFormatPr defaultColWidth="11.5546875" defaultRowHeight="12.75" customHeight="1" x14ac:dyDescent="0.25"/>
  <sheetData>
    <row r="1" spans="1:20" ht="16.2" x14ac:dyDescent="0.3">
      <c r="A1" s="11" t="s">
        <v>103</v>
      </c>
      <c r="B1" s="66"/>
      <c r="C1" s="66"/>
      <c r="D1" s="66"/>
      <c r="E1" s="66"/>
      <c r="F1" s="66"/>
      <c r="G1" s="66"/>
      <c r="H1" s="66"/>
      <c r="I1" s="66"/>
      <c r="J1" s="66"/>
      <c r="K1" s="66"/>
      <c r="L1" s="66"/>
      <c r="M1" s="66"/>
      <c r="N1" s="66"/>
      <c r="O1" s="66"/>
      <c r="P1" s="66"/>
      <c r="Q1" s="66"/>
      <c r="R1" s="66"/>
      <c r="S1" s="66"/>
      <c r="T1" s="66"/>
    </row>
    <row r="2" spans="1:20" ht="13.2" x14ac:dyDescent="0.25">
      <c r="A2" s="12"/>
      <c r="B2" s="12"/>
      <c r="C2" s="13"/>
      <c r="D2" s="13"/>
      <c r="E2" s="67"/>
      <c r="F2" s="67"/>
      <c r="G2" s="67"/>
      <c r="H2" s="67"/>
      <c r="I2" s="67"/>
      <c r="J2" s="67"/>
      <c r="K2" s="67"/>
      <c r="L2" s="67"/>
      <c r="M2" s="67"/>
      <c r="N2" s="67"/>
      <c r="O2" s="67"/>
      <c r="P2" s="67"/>
      <c r="Q2" s="67"/>
      <c r="R2" s="67"/>
      <c r="S2" s="67"/>
      <c r="T2" s="67"/>
    </row>
    <row r="3" spans="1:20" ht="34.200000000000003" x14ac:dyDescent="0.25">
      <c r="A3" s="68" t="s">
        <v>1</v>
      </c>
      <c r="B3" s="68" t="s">
        <v>2</v>
      </c>
      <c r="C3" s="68" t="s">
        <v>3</v>
      </c>
      <c r="D3" s="68" t="s">
        <v>4</v>
      </c>
      <c r="E3" s="68" t="s">
        <v>5</v>
      </c>
      <c r="F3" s="68" t="s">
        <v>6</v>
      </c>
      <c r="G3" s="68" t="s">
        <v>7</v>
      </c>
      <c r="H3" s="68" t="s">
        <v>8</v>
      </c>
      <c r="I3" s="68" t="s">
        <v>9</v>
      </c>
      <c r="J3" s="68" t="s">
        <v>10</v>
      </c>
      <c r="K3" s="68" t="s">
        <v>11</v>
      </c>
      <c r="L3" s="68" t="s">
        <v>12</v>
      </c>
      <c r="M3" s="68" t="s">
        <v>13</v>
      </c>
      <c r="N3" s="68" t="s">
        <v>14</v>
      </c>
      <c r="O3" s="68" t="s">
        <v>15</v>
      </c>
      <c r="P3" s="68" t="s">
        <v>16</v>
      </c>
      <c r="Q3" s="68" t="s">
        <v>17</v>
      </c>
      <c r="R3" s="68" t="s">
        <v>18</v>
      </c>
      <c r="S3" s="68" t="s">
        <v>19</v>
      </c>
      <c r="T3" s="68" t="s">
        <v>20</v>
      </c>
    </row>
    <row r="4" spans="1:20" ht="34.200000000000003" x14ac:dyDescent="0.25">
      <c r="A4" s="15"/>
      <c r="B4" s="16" t="s">
        <v>21</v>
      </c>
      <c r="C4" s="69" t="s">
        <v>22</v>
      </c>
      <c r="D4" s="18" t="s">
        <v>104</v>
      </c>
      <c r="E4" s="24">
        <v>214</v>
      </c>
      <c r="F4" s="19">
        <v>72</v>
      </c>
      <c r="G4" s="19">
        <v>197</v>
      </c>
      <c r="H4" s="19">
        <v>168</v>
      </c>
      <c r="I4" s="19">
        <v>234</v>
      </c>
      <c r="J4" s="19">
        <v>88</v>
      </c>
      <c r="K4" s="19">
        <v>24</v>
      </c>
      <c r="L4" s="19">
        <v>402</v>
      </c>
      <c r="M4" s="20"/>
      <c r="N4" s="19">
        <v>14</v>
      </c>
      <c r="O4" s="20">
        <v>3</v>
      </c>
      <c r="P4" s="19">
        <v>5</v>
      </c>
      <c r="Q4" s="20"/>
      <c r="R4" s="19"/>
      <c r="S4" s="19">
        <v>1</v>
      </c>
      <c r="T4" s="21">
        <v>1422</v>
      </c>
    </row>
    <row r="5" spans="1:20" ht="13.2" x14ac:dyDescent="0.25">
      <c r="A5" s="15"/>
      <c r="B5" s="15"/>
      <c r="C5" s="70"/>
      <c r="D5" s="18" t="s">
        <v>19</v>
      </c>
      <c r="E5" s="24">
        <v>4</v>
      </c>
      <c r="F5" s="20"/>
      <c r="G5" s="20"/>
      <c r="H5" s="20"/>
      <c r="I5" s="20"/>
      <c r="J5" s="20"/>
      <c r="K5" s="20"/>
      <c r="L5" s="20"/>
      <c r="M5" s="20"/>
      <c r="N5" s="20">
        <v>1</v>
      </c>
      <c r="O5" s="20"/>
      <c r="P5" s="20"/>
      <c r="Q5" s="20"/>
      <c r="R5" s="20"/>
      <c r="S5" s="19"/>
      <c r="T5" s="21">
        <v>5</v>
      </c>
    </row>
    <row r="6" spans="1:20" ht="13.2" x14ac:dyDescent="0.25">
      <c r="A6" s="15"/>
      <c r="B6" s="15"/>
      <c r="C6" s="69" t="s">
        <v>22</v>
      </c>
      <c r="D6" s="18" t="s">
        <v>26</v>
      </c>
      <c r="E6" s="24">
        <v>218</v>
      </c>
      <c r="F6" s="19">
        <v>72</v>
      </c>
      <c r="G6" s="19">
        <v>197</v>
      </c>
      <c r="H6" s="19">
        <v>168</v>
      </c>
      <c r="I6" s="19">
        <v>234</v>
      </c>
      <c r="J6" s="19">
        <v>88</v>
      </c>
      <c r="K6" s="19">
        <v>24</v>
      </c>
      <c r="L6" s="19">
        <v>402</v>
      </c>
      <c r="M6" s="20"/>
      <c r="N6" s="19">
        <v>15</v>
      </c>
      <c r="O6" s="20">
        <v>3</v>
      </c>
      <c r="P6" s="19">
        <v>5</v>
      </c>
      <c r="Q6" s="20"/>
      <c r="R6" s="19"/>
      <c r="S6" s="19">
        <v>1</v>
      </c>
      <c r="T6" s="21">
        <v>1427</v>
      </c>
    </row>
    <row r="7" spans="1:20" ht="34.200000000000003" x14ac:dyDescent="0.25">
      <c r="A7" s="15"/>
      <c r="B7" s="15"/>
      <c r="C7" s="69" t="s">
        <v>27</v>
      </c>
      <c r="D7" s="18" t="s">
        <v>104</v>
      </c>
      <c r="E7" s="24">
        <v>25</v>
      </c>
      <c r="F7" s="19">
        <v>5</v>
      </c>
      <c r="G7" s="19">
        <v>13</v>
      </c>
      <c r="H7" s="19">
        <v>7</v>
      </c>
      <c r="I7" s="19">
        <v>114</v>
      </c>
      <c r="J7" s="19">
        <v>21</v>
      </c>
      <c r="K7" s="19">
        <v>7</v>
      </c>
      <c r="L7" s="19">
        <v>104</v>
      </c>
      <c r="M7" s="20"/>
      <c r="N7" s="19">
        <v>9</v>
      </c>
      <c r="O7" s="19">
        <v>3</v>
      </c>
      <c r="P7" s="19">
        <v>5</v>
      </c>
      <c r="Q7" s="20"/>
      <c r="R7" s="19"/>
      <c r="S7" s="19"/>
      <c r="T7" s="21">
        <v>313</v>
      </c>
    </row>
    <row r="8" spans="1:20" ht="13.2" x14ac:dyDescent="0.25">
      <c r="A8" s="15"/>
      <c r="B8" s="15"/>
      <c r="C8" s="70"/>
      <c r="D8" s="18" t="s">
        <v>19</v>
      </c>
      <c r="E8" s="24">
        <v>3</v>
      </c>
      <c r="F8" s="20"/>
      <c r="G8" s="20"/>
      <c r="H8" s="20"/>
      <c r="I8" s="20"/>
      <c r="J8" s="20"/>
      <c r="K8" s="20"/>
      <c r="L8" s="19"/>
      <c r="M8" s="20"/>
      <c r="N8" s="20"/>
      <c r="O8" s="20"/>
      <c r="P8" s="20"/>
      <c r="Q8" s="20"/>
      <c r="R8" s="20"/>
      <c r="S8" s="19"/>
      <c r="T8" s="21">
        <v>3</v>
      </c>
    </row>
    <row r="9" spans="1:20" ht="34.200000000000003" x14ac:dyDescent="0.25">
      <c r="A9" s="15"/>
      <c r="B9" s="15"/>
      <c r="C9" s="69" t="s">
        <v>27</v>
      </c>
      <c r="D9" s="18" t="s">
        <v>26</v>
      </c>
      <c r="E9" s="24">
        <v>28</v>
      </c>
      <c r="F9" s="19">
        <v>5</v>
      </c>
      <c r="G9" s="19">
        <v>13</v>
      </c>
      <c r="H9" s="19">
        <v>7</v>
      </c>
      <c r="I9" s="19">
        <v>114</v>
      </c>
      <c r="J9" s="19">
        <v>21</v>
      </c>
      <c r="K9" s="19">
        <v>7</v>
      </c>
      <c r="L9" s="19">
        <v>104</v>
      </c>
      <c r="M9" s="20"/>
      <c r="N9" s="19">
        <v>9</v>
      </c>
      <c r="O9" s="19">
        <v>3</v>
      </c>
      <c r="P9" s="19">
        <v>5</v>
      </c>
      <c r="Q9" s="20"/>
      <c r="R9" s="19"/>
      <c r="S9" s="19"/>
      <c r="T9" s="21">
        <v>316</v>
      </c>
    </row>
    <row r="10" spans="1:20" ht="22.8" x14ac:dyDescent="0.25">
      <c r="A10" s="15"/>
      <c r="B10" s="15"/>
      <c r="C10" s="69" t="s">
        <v>28</v>
      </c>
      <c r="D10" s="18" t="s">
        <v>104</v>
      </c>
      <c r="E10" s="24">
        <v>2</v>
      </c>
      <c r="F10" s="19"/>
      <c r="G10" s="20"/>
      <c r="H10" s="19"/>
      <c r="I10" s="19">
        <v>25</v>
      </c>
      <c r="J10" s="19">
        <v>43</v>
      </c>
      <c r="K10" s="19">
        <v>1</v>
      </c>
      <c r="L10" s="19">
        <v>35</v>
      </c>
      <c r="M10" s="20"/>
      <c r="N10" s="19">
        <v>8</v>
      </c>
      <c r="O10" s="20"/>
      <c r="P10" s="19">
        <v>6</v>
      </c>
      <c r="Q10" s="20"/>
      <c r="R10" s="20"/>
      <c r="S10" s="19"/>
      <c r="T10" s="21">
        <v>120</v>
      </c>
    </row>
    <row r="11" spans="1:20" ht="22.8" x14ac:dyDescent="0.25">
      <c r="A11" s="15"/>
      <c r="B11" s="15"/>
      <c r="C11" s="69" t="s">
        <v>28</v>
      </c>
      <c r="D11" s="18" t="s">
        <v>26</v>
      </c>
      <c r="E11" s="24">
        <v>2</v>
      </c>
      <c r="F11" s="20"/>
      <c r="G11" s="20"/>
      <c r="H11" s="20"/>
      <c r="I11" s="20">
        <v>25</v>
      </c>
      <c r="J11" s="20">
        <v>43</v>
      </c>
      <c r="K11" s="20">
        <v>1</v>
      </c>
      <c r="L11" s="20">
        <v>35</v>
      </c>
      <c r="M11" s="20"/>
      <c r="N11" s="20">
        <v>8</v>
      </c>
      <c r="O11" s="20"/>
      <c r="P11" s="20">
        <v>6</v>
      </c>
      <c r="Q11" s="20"/>
      <c r="R11" s="20"/>
      <c r="S11" s="19"/>
      <c r="T11" s="21">
        <v>120</v>
      </c>
    </row>
    <row r="12" spans="1:20" ht="22.8" x14ac:dyDescent="0.25">
      <c r="A12" s="15"/>
      <c r="B12" s="15"/>
      <c r="C12" s="69" t="s">
        <v>29</v>
      </c>
      <c r="D12" s="18" t="s">
        <v>18</v>
      </c>
      <c r="E12" s="24"/>
      <c r="F12" s="19"/>
      <c r="G12" s="20"/>
      <c r="H12" s="19"/>
      <c r="I12" s="19"/>
      <c r="J12" s="19"/>
      <c r="K12" s="19"/>
      <c r="L12" s="19"/>
      <c r="M12" s="20"/>
      <c r="N12" s="19"/>
      <c r="O12" s="20"/>
      <c r="P12" s="19"/>
      <c r="Q12" s="20"/>
      <c r="R12" s="20">
        <v>31</v>
      </c>
      <c r="S12" s="19"/>
      <c r="T12" s="21">
        <v>31</v>
      </c>
    </row>
    <row r="13" spans="1:20" ht="13.2" x14ac:dyDescent="0.25">
      <c r="A13" s="15"/>
      <c r="B13" s="15"/>
      <c r="C13" s="69" t="s">
        <v>29</v>
      </c>
      <c r="D13" s="18" t="s">
        <v>26</v>
      </c>
      <c r="E13" s="24"/>
      <c r="F13" s="19"/>
      <c r="G13" s="19"/>
      <c r="H13" s="19"/>
      <c r="I13" s="19"/>
      <c r="J13" s="19"/>
      <c r="K13" s="19"/>
      <c r="L13" s="19"/>
      <c r="M13" s="19"/>
      <c r="N13" s="19"/>
      <c r="O13" s="19"/>
      <c r="P13" s="19"/>
      <c r="Q13" s="19"/>
      <c r="R13" s="19">
        <v>31</v>
      </c>
      <c r="S13" s="19"/>
      <c r="T13" s="21">
        <v>31</v>
      </c>
    </row>
    <row r="14" spans="1:20" ht="13.2" x14ac:dyDescent="0.25">
      <c r="A14" s="15"/>
      <c r="B14" s="15"/>
      <c r="C14" s="69" t="s">
        <v>30</v>
      </c>
      <c r="D14" s="18" t="s">
        <v>104</v>
      </c>
      <c r="E14" s="24">
        <v>832</v>
      </c>
      <c r="F14" s="19">
        <v>465</v>
      </c>
      <c r="G14" s="19">
        <v>1129</v>
      </c>
      <c r="H14" s="20">
        <v>1783</v>
      </c>
      <c r="I14" s="20">
        <v>2108</v>
      </c>
      <c r="J14" s="19">
        <v>622</v>
      </c>
      <c r="K14" s="20">
        <v>1138</v>
      </c>
      <c r="L14" s="20">
        <v>2553</v>
      </c>
      <c r="M14" s="20">
        <v>2</v>
      </c>
      <c r="N14" s="20">
        <v>1124</v>
      </c>
      <c r="O14" s="20">
        <v>76</v>
      </c>
      <c r="P14" s="20">
        <v>147</v>
      </c>
      <c r="Q14" s="20">
        <v>95</v>
      </c>
      <c r="R14" s="20"/>
      <c r="S14" s="19">
        <v>2</v>
      </c>
      <c r="T14" s="21">
        <v>12076</v>
      </c>
    </row>
    <row r="15" spans="1:20" ht="13.2" x14ac:dyDescent="0.25">
      <c r="A15" s="15"/>
      <c r="B15" s="15"/>
      <c r="C15" s="70"/>
      <c r="D15" s="18" t="s">
        <v>19</v>
      </c>
      <c r="E15" s="24">
        <v>42</v>
      </c>
      <c r="F15" s="19">
        <v>6</v>
      </c>
      <c r="G15" s="19">
        <v>3</v>
      </c>
      <c r="H15" s="19">
        <v>1</v>
      </c>
      <c r="I15" s="19"/>
      <c r="J15" s="19"/>
      <c r="K15" s="19"/>
      <c r="L15" s="19">
        <v>1</v>
      </c>
      <c r="M15" s="19"/>
      <c r="N15" s="19">
        <v>2</v>
      </c>
      <c r="O15" s="19"/>
      <c r="P15" s="19"/>
      <c r="Q15" s="19">
        <v>1</v>
      </c>
      <c r="R15" s="19"/>
      <c r="S15" s="19"/>
      <c r="T15" s="21">
        <v>56</v>
      </c>
    </row>
    <row r="16" spans="1:20" ht="13.2" x14ac:dyDescent="0.25">
      <c r="A16" s="15"/>
      <c r="B16" s="15"/>
      <c r="C16" s="69" t="s">
        <v>30</v>
      </c>
      <c r="D16" s="18" t="s">
        <v>26</v>
      </c>
      <c r="E16" s="23">
        <v>874</v>
      </c>
      <c r="F16" s="20">
        <v>471</v>
      </c>
      <c r="G16" s="20">
        <v>1132</v>
      </c>
      <c r="H16" s="20">
        <v>1784</v>
      </c>
      <c r="I16" s="19">
        <v>2108</v>
      </c>
      <c r="J16" s="20">
        <v>622</v>
      </c>
      <c r="K16" s="20">
        <v>1138</v>
      </c>
      <c r="L16" s="20">
        <v>2554</v>
      </c>
      <c r="M16" s="20">
        <v>2</v>
      </c>
      <c r="N16" s="20">
        <v>1126</v>
      </c>
      <c r="O16" s="20">
        <v>76</v>
      </c>
      <c r="P16" s="20">
        <v>147</v>
      </c>
      <c r="Q16" s="20">
        <v>96</v>
      </c>
      <c r="R16" s="20"/>
      <c r="S16" s="19">
        <v>2</v>
      </c>
      <c r="T16" s="21">
        <v>12132</v>
      </c>
    </row>
    <row r="17" spans="1:20" ht="22.8" x14ac:dyDescent="0.25">
      <c r="A17" s="15"/>
      <c r="B17" s="15"/>
      <c r="C17" s="69" t="s">
        <v>105</v>
      </c>
      <c r="D17" s="18" t="s">
        <v>104</v>
      </c>
      <c r="E17" s="23"/>
      <c r="F17" s="20"/>
      <c r="G17" s="20"/>
      <c r="H17" s="20"/>
      <c r="I17" s="19"/>
      <c r="J17" s="20"/>
      <c r="K17" s="20">
        <v>1</v>
      </c>
      <c r="L17" s="20"/>
      <c r="M17" s="20"/>
      <c r="N17" s="20"/>
      <c r="O17" s="20"/>
      <c r="P17" s="20"/>
      <c r="Q17" s="20"/>
      <c r="R17" s="20"/>
      <c r="S17" s="19"/>
      <c r="T17" s="21">
        <v>1</v>
      </c>
    </row>
    <row r="18" spans="1:20" ht="22.8" x14ac:dyDescent="0.25">
      <c r="A18" s="15"/>
      <c r="B18" s="15"/>
      <c r="C18" s="71" t="s">
        <v>106</v>
      </c>
      <c r="D18" s="18" t="s">
        <v>26</v>
      </c>
      <c r="E18" s="23"/>
      <c r="F18" s="20"/>
      <c r="G18" s="20"/>
      <c r="H18" s="20"/>
      <c r="I18" s="20"/>
      <c r="J18" s="20"/>
      <c r="K18" s="20">
        <v>1</v>
      </c>
      <c r="L18" s="19"/>
      <c r="M18" s="20"/>
      <c r="N18" s="20"/>
      <c r="O18" s="20"/>
      <c r="P18" s="20"/>
      <c r="Q18" s="20"/>
      <c r="R18" s="20"/>
      <c r="S18" s="19"/>
      <c r="T18" s="21">
        <v>1</v>
      </c>
    </row>
    <row r="19" spans="1:20" ht="22.8" x14ac:dyDescent="0.25">
      <c r="A19" s="15"/>
      <c r="B19" s="15"/>
      <c r="C19" s="69" t="s">
        <v>31</v>
      </c>
      <c r="D19" s="18" t="s">
        <v>104</v>
      </c>
      <c r="E19" s="23"/>
      <c r="F19" s="20"/>
      <c r="G19" s="20"/>
      <c r="H19" s="20"/>
      <c r="I19" s="20"/>
      <c r="J19" s="20"/>
      <c r="K19" s="20"/>
      <c r="L19" s="19">
        <v>64</v>
      </c>
      <c r="M19" s="20"/>
      <c r="N19" s="20"/>
      <c r="O19" s="20"/>
      <c r="P19" s="20"/>
      <c r="Q19" s="20"/>
      <c r="R19" s="20"/>
      <c r="S19" s="19"/>
      <c r="T19" s="21">
        <v>64</v>
      </c>
    </row>
    <row r="20" spans="1:20" ht="22.8" x14ac:dyDescent="0.25">
      <c r="A20" s="15"/>
      <c r="B20" s="15"/>
      <c r="C20" s="69" t="s">
        <v>31</v>
      </c>
      <c r="D20" s="18" t="s">
        <v>26</v>
      </c>
      <c r="E20" s="23"/>
      <c r="F20" s="20"/>
      <c r="G20" s="20"/>
      <c r="H20" s="20"/>
      <c r="I20" s="20"/>
      <c r="J20" s="20"/>
      <c r="K20" s="20"/>
      <c r="L20" s="19">
        <v>64</v>
      </c>
      <c r="M20" s="20"/>
      <c r="N20" s="20"/>
      <c r="O20" s="20"/>
      <c r="P20" s="20"/>
      <c r="Q20" s="20"/>
      <c r="R20" s="20"/>
      <c r="S20" s="19"/>
      <c r="T20" s="21">
        <v>64</v>
      </c>
    </row>
    <row r="21" spans="1:20" ht="22.8" x14ac:dyDescent="0.25">
      <c r="A21" s="15"/>
      <c r="B21" s="15"/>
      <c r="C21" s="69" t="s">
        <v>33</v>
      </c>
      <c r="D21" s="18" t="s">
        <v>104</v>
      </c>
      <c r="E21" s="23"/>
      <c r="F21" s="20"/>
      <c r="G21" s="20"/>
      <c r="H21" s="20"/>
      <c r="I21" s="20"/>
      <c r="J21" s="20"/>
      <c r="K21" s="20"/>
      <c r="L21" s="19">
        <v>74</v>
      </c>
      <c r="M21" s="20"/>
      <c r="N21" s="20"/>
      <c r="O21" s="20"/>
      <c r="P21" s="20"/>
      <c r="Q21" s="20"/>
      <c r="R21" s="20"/>
      <c r="S21" s="19"/>
      <c r="T21" s="21">
        <v>74</v>
      </c>
    </row>
    <row r="22" spans="1:20" ht="22.8" x14ac:dyDescent="0.25">
      <c r="A22" s="15"/>
      <c r="B22" s="15"/>
      <c r="C22" s="69" t="s">
        <v>33</v>
      </c>
      <c r="D22" s="18" t="s">
        <v>26</v>
      </c>
      <c r="E22" s="23"/>
      <c r="F22" s="20"/>
      <c r="G22" s="20"/>
      <c r="H22" s="20"/>
      <c r="I22" s="19"/>
      <c r="J22" s="19"/>
      <c r="K22" s="20"/>
      <c r="L22" s="19">
        <v>74</v>
      </c>
      <c r="M22" s="20"/>
      <c r="N22" s="19"/>
      <c r="O22" s="20"/>
      <c r="P22" s="19"/>
      <c r="Q22" s="20"/>
      <c r="R22" s="20"/>
      <c r="S22" s="19"/>
      <c r="T22" s="21">
        <v>74</v>
      </c>
    </row>
    <row r="23" spans="1:20" ht="13.2" x14ac:dyDescent="0.25">
      <c r="A23" s="15"/>
      <c r="B23" s="15"/>
      <c r="C23" s="69" t="s">
        <v>34</v>
      </c>
      <c r="D23" s="18" t="s">
        <v>104</v>
      </c>
      <c r="E23" s="23"/>
      <c r="F23" s="20"/>
      <c r="G23" s="20"/>
      <c r="H23" s="20"/>
      <c r="I23" s="19">
        <v>2</v>
      </c>
      <c r="J23" s="19">
        <v>3</v>
      </c>
      <c r="K23" s="20"/>
      <c r="L23" s="19">
        <v>20</v>
      </c>
      <c r="M23" s="20"/>
      <c r="N23" s="19">
        <v>1</v>
      </c>
      <c r="O23" s="20"/>
      <c r="P23" s="19">
        <v>12</v>
      </c>
      <c r="Q23" s="20"/>
      <c r="R23" s="20"/>
      <c r="S23" s="19"/>
      <c r="T23" s="21">
        <v>38</v>
      </c>
    </row>
    <row r="24" spans="1:20" ht="13.2" x14ac:dyDescent="0.25">
      <c r="A24" s="15"/>
      <c r="B24" s="15"/>
      <c r="C24" s="69" t="s">
        <v>34</v>
      </c>
      <c r="D24" s="18" t="s">
        <v>26</v>
      </c>
      <c r="E24" s="24"/>
      <c r="F24" s="20"/>
      <c r="G24" s="20"/>
      <c r="H24" s="20"/>
      <c r="I24" s="20">
        <v>2</v>
      </c>
      <c r="J24" s="20">
        <v>3</v>
      </c>
      <c r="K24" s="20"/>
      <c r="L24" s="20">
        <v>20</v>
      </c>
      <c r="M24" s="20"/>
      <c r="N24" s="20">
        <v>1</v>
      </c>
      <c r="O24" s="20"/>
      <c r="P24" s="20">
        <v>12</v>
      </c>
      <c r="Q24" s="20"/>
      <c r="R24" s="20"/>
      <c r="S24" s="19"/>
      <c r="T24" s="21">
        <v>38</v>
      </c>
    </row>
    <row r="25" spans="1:20" ht="13.2" x14ac:dyDescent="0.25">
      <c r="A25" s="15"/>
      <c r="B25" s="26"/>
      <c r="C25" s="27" t="s">
        <v>26</v>
      </c>
      <c r="D25" s="18"/>
      <c r="E25" s="24">
        <v>1122</v>
      </c>
      <c r="F25" s="20">
        <v>548</v>
      </c>
      <c r="G25" s="20">
        <v>1342</v>
      </c>
      <c r="H25" s="20">
        <v>1959</v>
      </c>
      <c r="I25" s="20">
        <v>2483</v>
      </c>
      <c r="J25" s="20">
        <v>777</v>
      </c>
      <c r="K25" s="20">
        <v>1171</v>
      </c>
      <c r="L25" s="20">
        <v>3253</v>
      </c>
      <c r="M25" s="20">
        <v>2</v>
      </c>
      <c r="N25" s="20">
        <v>1159</v>
      </c>
      <c r="O25" s="20">
        <v>82</v>
      </c>
      <c r="P25" s="20">
        <v>175</v>
      </c>
      <c r="Q25" s="20">
        <v>96</v>
      </c>
      <c r="R25" s="20">
        <v>31</v>
      </c>
      <c r="S25" s="19">
        <v>3</v>
      </c>
      <c r="T25" s="21">
        <v>14203</v>
      </c>
    </row>
    <row r="28" spans="1:20" ht="22.8" x14ac:dyDescent="0.25">
      <c r="A28" s="72" t="s">
        <v>2</v>
      </c>
      <c r="B28" s="8" t="s">
        <v>107</v>
      </c>
      <c r="C28" s="8"/>
      <c r="D28" s="8"/>
      <c r="E28" s="8"/>
      <c r="F28" s="8"/>
      <c r="G28" s="8"/>
      <c r="H28" s="8"/>
      <c r="I28" s="8"/>
      <c r="J28" s="8"/>
      <c r="K28" s="73"/>
    </row>
    <row r="29" spans="1:20" ht="34.200000000000003" x14ac:dyDescent="0.25">
      <c r="A29" s="74" t="s">
        <v>3</v>
      </c>
      <c r="B29" s="75" t="s">
        <v>22</v>
      </c>
      <c r="C29" s="75" t="s">
        <v>27</v>
      </c>
      <c r="D29" s="75" t="s">
        <v>28</v>
      </c>
      <c r="E29" s="75" t="s">
        <v>108</v>
      </c>
      <c r="F29" s="75" t="s">
        <v>30</v>
      </c>
      <c r="G29" s="76" t="s">
        <v>106</v>
      </c>
      <c r="H29" s="75" t="s">
        <v>31</v>
      </c>
      <c r="I29" s="75" t="s">
        <v>33</v>
      </c>
      <c r="J29" s="77" t="s">
        <v>34</v>
      </c>
      <c r="K29" s="31" t="s">
        <v>26</v>
      </c>
    </row>
    <row r="30" spans="1:20" ht="13.2" x14ac:dyDescent="0.25">
      <c r="A30" s="74" t="s">
        <v>4</v>
      </c>
      <c r="B30" s="32"/>
      <c r="C30" s="32"/>
      <c r="D30" s="32"/>
      <c r="E30" s="32"/>
      <c r="F30" s="32"/>
      <c r="G30" s="32"/>
      <c r="H30" s="32"/>
      <c r="I30" s="32"/>
      <c r="J30" s="32"/>
      <c r="K30" s="32"/>
    </row>
    <row r="31" spans="1:20" ht="13.2" x14ac:dyDescent="0.25">
      <c r="A31" s="74" t="s">
        <v>5</v>
      </c>
      <c r="B31" s="78">
        <v>218</v>
      </c>
      <c r="C31" s="78">
        <v>28</v>
      </c>
      <c r="D31" s="78">
        <v>2</v>
      </c>
      <c r="E31" s="78"/>
      <c r="F31" s="79">
        <v>874</v>
      </c>
      <c r="G31" s="79"/>
      <c r="H31" s="79"/>
      <c r="I31" s="79"/>
      <c r="J31" s="78"/>
      <c r="K31" s="78">
        <v>1122</v>
      </c>
    </row>
    <row r="32" spans="1:20" ht="13.2" x14ac:dyDescent="0.25">
      <c r="A32" s="74" t="s">
        <v>6</v>
      </c>
      <c r="B32" s="36">
        <v>72</v>
      </c>
      <c r="C32" s="36">
        <v>5</v>
      </c>
      <c r="D32" s="35"/>
      <c r="E32" s="36"/>
      <c r="F32" s="35">
        <v>471</v>
      </c>
      <c r="G32" s="35"/>
      <c r="H32" s="35"/>
      <c r="I32" s="35"/>
      <c r="J32" s="35"/>
      <c r="K32" s="35">
        <v>548</v>
      </c>
    </row>
    <row r="33" spans="1:11" ht="13.2" x14ac:dyDescent="0.25">
      <c r="A33" s="74" t="s">
        <v>7</v>
      </c>
      <c r="B33" s="36">
        <v>197</v>
      </c>
      <c r="C33" s="36">
        <v>13</v>
      </c>
      <c r="D33" s="35"/>
      <c r="E33" s="36"/>
      <c r="F33" s="35">
        <v>1132</v>
      </c>
      <c r="G33" s="35"/>
      <c r="H33" s="35"/>
      <c r="I33" s="35"/>
      <c r="J33" s="35"/>
      <c r="K33" s="35">
        <v>1342</v>
      </c>
    </row>
    <row r="34" spans="1:11" ht="13.2" x14ac:dyDescent="0.25">
      <c r="A34" s="74" t="s">
        <v>8</v>
      </c>
      <c r="B34" s="36">
        <v>168</v>
      </c>
      <c r="C34" s="36">
        <v>7</v>
      </c>
      <c r="D34" s="35"/>
      <c r="E34" s="36"/>
      <c r="F34" s="35">
        <v>1784</v>
      </c>
      <c r="G34" s="35"/>
      <c r="H34" s="35"/>
      <c r="I34" s="35"/>
      <c r="J34" s="35"/>
      <c r="K34" s="35">
        <v>1959</v>
      </c>
    </row>
    <row r="35" spans="1:11" ht="13.2" x14ac:dyDescent="0.25">
      <c r="A35" s="74" t="s">
        <v>9</v>
      </c>
      <c r="B35" s="36">
        <v>234</v>
      </c>
      <c r="C35" s="36">
        <v>114</v>
      </c>
      <c r="D35" s="35">
        <v>25</v>
      </c>
      <c r="E35" s="36"/>
      <c r="F35" s="36">
        <v>2108</v>
      </c>
      <c r="G35" s="35"/>
      <c r="H35" s="35"/>
      <c r="I35" s="36"/>
      <c r="J35" s="35">
        <v>2</v>
      </c>
      <c r="K35" s="35">
        <v>2483</v>
      </c>
    </row>
    <row r="36" spans="1:11" ht="13.2" x14ac:dyDescent="0.25">
      <c r="A36" s="74" t="s">
        <v>10</v>
      </c>
      <c r="B36" s="36">
        <v>88</v>
      </c>
      <c r="C36" s="36">
        <v>21</v>
      </c>
      <c r="D36" s="35">
        <v>43</v>
      </c>
      <c r="E36" s="36"/>
      <c r="F36" s="35">
        <v>622</v>
      </c>
      <c r="G36" s="35"/>
      <c r="H36" s="35"/>
      <c r="I36" s="36"/>
      <c r="J36" s="35">
        <v>3</v>
      </c>
      <c r="K36" s="35">
        <v>777</v>
      </c>
    </row>
    <row r="37" spans="1:11" ht="13.2" x14ac:dyDescent="0.25">
      <c r="A37" s="74" t="s">
        <v>11</v>
      </c>
      <c r="B37" s="36">
        <v>24</v>
      </c>
      <c r="C37" s="36">
        <v>7</v>
      </c>
      <c r="D37" s="35">
        <v>1</v>
      </c>
      <c r="E37" s="36"/>
      <c r="F37" s="35">
        <v>1138</v>
      </c>
      <c r="G37" s="35">
        <v>1</v>
      </c>
      <c r="H37" s="35"/>
      <c r="I37" s="35"/>
      <c r="J37" s="35"/>
      <c r="K37" s="35">
        <v>1171</v>
      </c>
    </row>
    <row r="38" spans="1:11" ht="13.2" x14ac:dyDescent="0.25">
      <c r="A38" s="74" t="s">
        <v>12</v>
      </c>
      <c r="B38" s="36">
        <v>402</v>
      </c>
      <c r="C38" s="36">
        <v>104</v>
      </c>
      <c r="D38" s="35">
        <v>35</v>
      </c>
      <c r="E38" s="36"/>
      <c r="F38" s="35">
        <v>2554</v>
      </c>
      <c r="G38" s="36"/>
      <c r="H38" s="36">
        <v>64</v>
      </c>
      <c r="I38" s="36">
        <v>74</v>
      </c>
      <c r="J38" s="35">
        <v>20</v>
      </c>
      <c r="K38" s="35">
        <v>3253</v>
      </c>
    </row>
    <row r="39" spans="1:11" ht="13.2" x14ac:dyDescent="0.25">
      <c r="A39" s="74" t="s">
        <v>13</v>
      </c>
      <c r="B39" s="35"/>
      <c r="C39" s="35"/>
      <c r="D39" s="35"/>
      <c r="E39" s="36"/>
      <c r="F39" s="35">
        <v>2</v>
      </c>
      <c r="G39" s="35"/>
      <c r="H39" s="35"/>
      <c r="I39" s="35"/>
      <c r="J39" s="35"/>
      <c r="K39" s="35">
        <v>2</v>
      </c>
    </row>
    <row r="40" spans="1:11" ht="13.2" x14ac:dyDescent="0.25">
      <c r="A40" s="74" t="s">
        <v>14</v>
      </c>
      <c r="B40" s="36">
        <v>15</v>
      </c>
      <c r="C40" s="36">
        <v>9</v>
      </c>
      <c r="D40" s="35">
        <v>8</v>
      </c>
      <c r="E40" s="36"/>
      <c r="F40" s="35">
        <v>1126</v>
      </c>
      <c r="G40" s="35"/>
      <c r="H40" s="35"/>
      <c r="I40" s="36"/>
      <c r="J40" s="35">
        <v>1</v>
      </c>
      <c r="K40" s="35">
        <v>1159</v>
      </c>
    </row>
    <row r="41" spans="1:11" ht="13.2" x14ac:dyDescent="0.25">
      <c r="A41" s="74" t="s">
        <v>15</v>
      </c>
      <c r="B41" s="35">
        <v>3</v>
      </c>
      <c r="C41" s="36">
        <v>3</v>
      </c>
      <c r="D41" s="35"/>
      <c r="E41" s="36"/>
      <c r="F41" s="35">
        <v>76</v>
      </c>
      <c r="G41" s="35"/>
      <c r="H41" s="35"/>
      <c r="I41" s="35"/>
      <c r="J41" s="35"/>
      <c r="K41" s="35">
        <v>82</v>
      </c>
    </row>
    <row r="42" spans="1:11" ht="13.2" x14ac:dyDescent="0.25">
      <c r="A42" s="74" t="s">
        <v>16</v>
      </c>
      <c r="B42" s="36">
        <v>5</v>
      </c>
      <c r="C42" s="36">
        <v>5</v>
      </c>
      <c r="D42" s="35">
        <v>6</v>
      </c>
      <c r="E42" s="36"/>
      <c r="F42" s="35">
        <v>147</v>
      </c>
      <c r="G42" s="35"/>
      <c r="H42" s="35"/>
      <c r="I42" s="36"/>
      <c r="J42" s="35">
        <v>12</v>
      </c>
      <c r="K42" s="35">
        <v>175</v>
      </c>
    </row>
    <row r="43" spans="1:11" ht="13.2" x14ac:dyDescent="0.25">
      <c r="A43" s="74" t="s">
        <v>17</v>
      </c>
      <c r="B43" s="35"/>
      <c r="C43" s="35"/>
      <c r="D43" s="35"/>
      <c r="E43" s="36"/>
      <c r="F43" s="35">
        <v>96</v>
      </c>
      <c r="G43" s="35"/>
      <c r="H43" s="35"/>
      <c r="I43" s="35"/>
      <c r="J43" s="35"/>
      <c r="K43" s="35">
        <v>96</v>
      </c>
    </row>
    <row r="44" spans="1:11" ht="34.200000000000003" x14ac:dyDescent="0.25">
      <c r="A44" s="74" t="s">
        <v>18</v>
      </c>
      <c r="B44" s="36"/>
      <c r="C44" s="36"/>
      <c r="D44" s="35"/>
      <c r="E44" s="36">
        <v>31</v>
      </c>
      <c r="F44" s="35"/>
      <c r="G44" s="35"/>
      <c r="H44" s="35"/>
      <c r="I44" s="35"/>
      <c r="J44" s="35"/>
      <c r="K44" s="35">
        <v>31</v>
      </c>
    </row>
    <row r="45" spans="1:11" ht="22.8" x14ac:dyDescent="0.25">
      <c r="A45" s="74" t="s">
        <v>19</v>
      </c>
      <c r="B45" s="36">
        <v>1</v>
      </c>
      <c r="C45" s="36"/>
      <c r="D45" s="36"/>
      <c r="E45" s="36"/>
      <c r="F45" s="36">
        <v>2</v>
      </c>
      <c r="G45" s="36"/>
      <c r="H45" s="36"/>
      <c r="I45" s="36"/>
      <c r="J45" s="36"/>
      <c r="K45" s="36">
        <v>3</v>
      </c>
    </row>
    <row r="46" spans="1:11" ht="13.2" x14ac:dyDescent="0.25">
      <c r="A46" s="74" t="s">
        <v>20</v>
      </c>
      <c r="B46" s="37">
        <v>1427</v>
      </c>
      <c r="C46" s="37">
        <v>316</v>
      </c>
      <c r="D46" s="37">
        <v>120</v>
      </c>
      <c r="E46" s="37">
        <v>31</v>
      </c>
      <c r="F46" s="37">
        <v>12132</v>
      </c>
      <c r="G46" s="37">
        <v>1</v>
      </c>
      <c r="H46" s="37">
        <v>64</v>
      </c>
      <c r="I46" s="37">
        <v>74</v>
      </c>
      <c r="J46" s="37">
        <v>38</v>
      </c>
      <c r="K46" s="37">
        <v>14203</v>
      </c>
    </row>
    <row r="48" spans="1:11" ht="22.8" x14ac:dyDescent="0.25">
      <c r="A48" s="74" t="s">
        <v>2</v>
      </c>
      <c r="B48" s="8" t="s">
        <v>109</v>
      </c>
      <c r="C48" s="8"/>
      <c r="D48" s="8"/>
      <c r="E48" s="8"/>
      <c r="F48" s="8"/>
      <c r="G48" s="8"/>
      <c r="H48" s="8"/>
      <c r="I48" s="8"/>
      <c r="J48" s="8"/>
      <c r="K48" s="8"/>
    </row>
    <row r="49" spans="1:11" ht="34.200000000000003" x14ac:dyDescent="0.25">
      <c r="A49" s="74" t="s">
        <v>3</v>
      </c>
      <c r="B49" s="75" t="s">
        <v>22</v>
      </c>
      <c r="C49" s="75" t="s">
        <v>27</v>
      </c>
      <c r="D49" s="75" t="s">
        <v>28</v>
      </c>
      <c r="E49" s="75" t="s">
        <v>108</v>
      </c>
      <c r="F49" s="75" t="s">
        <v>30</v>
      </c>
      <c r="G49" s="76" t="s">
        <v>106</v>
      </c>
      <c r="H49" s="75" t="s">
        <v>31</v>
      </c>
      <c r="I49" s="75" t="s">
        <v>33</v>
      </c>
      <c r="J49" s="77" t="s">
        <v>34</v>
      </c>
      <c r="K49" s="31" t="s">
        <v>26</v>
      </c>
    </row>
    <row r="50" spans="1:11" ht="13.2" x14ac:dyDescent="0.25">
      <c r="A50" s="74" t="s">
        <v>4</v>
      </c>
      <c r="B50" s="32"/>
      <c r="C50" s="32"/>
      <c r="D50" s="32"/>
      <c r="E50" s="32"/>
      <c r="F50" s="32"/>
      <c r="G50" s="32"/>
      <c r="H50" s="32"/>
      <c r="I50" s="32"/>
      <c r="J50" s="32"/>
      <c r="K50" s="32"/>
    </row>
    <row r="51" spans="1:11" ht="13.2" x14ac:dyDescent="0.25">
      <c r="A51" s="74" t="s">
        <v>5</v>
      </c>
      <c r="B51" s="80">
        <f t="shared" ref="B51:K51" si="0">B31/$K$31</f>
        <v>0.19429590017825313</v>
      </c>
      <c r="C51" s="80">
        <f t="shared" si="0"/>
        <v>2.4955436720142603E-2</v>
      </c>
      <c r="D51" s="80">
        <f t="shared" si="0"/>
        <v>1.7825311942959001E-3</v>
      </c>
      <c r="E51" s="80">
        <f t="shared" si="0"/>
        <v>0</v>
      </c>
      <c r="F51" s="80">
        <f t="shared" si="0"/>
        <v>0.77896613190730835</v>
      </c>
      <c r="G51" s="80">
        <f t="shared" si="0"/>
        <v>0</v>
      </c>
      <c r="H51" s="80">
        <f t="shared" si="0"/>
        <v>0</v>
      </c>
      <c r="I51" s="80">
        <f t="shared" si="0"/>
        <v>0</v>
      </c>
      <c r="J51" s="80">
        <f t="shared" si="0"/>
        <v>0</v>
      </c>
      <c r="K51" s="80">
        <f t="shared" si="0"/>
        <v>1</v>
      </c>
    </row>
    <row r="52" spans="1:11" ht="13.2" x14ac:dyDescent="0.25">
      <c r="A52" s="74" t="s">
        <v>6</v>
      </c>
      <c r="B52" s="80">
        <f t="shared" ref="B52:K52" si="1">B32/$K32</f>
        <v>0.13138686131386862</v>
      </c>
      <c r="C52" s="80">
        <f t="shared" si="1"/>
        <v>9.1240875912408752E-3</v>
      </c>
      <c r="D52" s="80">
        <f t="shared" si="1"/>
        <v>0</v>
      </c>
      <c r="E52" s="80">
        <f t="shared" si="1"/>
        <v>0</v>
      </c>
      <c r="F52" s="80">
        <f t="shared" si="1"/>
        <v>0.85948905109489049</v>
      </c>
      <c r="G52" s="80">
        <f t="shared" si="1"/>
        <v>0</v>
      </c>
      <c r="H52" s="80">
        <f t="shared" si="1"/>
        <v>0</v>
      </c>
      <c r="I52" s="80">
        <f t="shared" si="1"/>
        <v>0</v>
      </c>
      <c r="J52" s="80">
        <f t="shared" si="1"/>
        <v>0</v>
      </c>
      <c r="K52" s="80">
        <f t="shared" si="1"/>
        <v>1</v>
      </c>
    </row>
    <row r="53" spans="1:11" ht="13.2" x14ac:dyDescent="0.25">
      <c r="A53" s="74" t="s">
        <v>7</v>
      </c>
      <c r="B53" s="80">
        <f t="shared" ref="B53:K53" si="2">B33/$K33</f>
        <v>0.14679582712369599</v>
      </c>
      <c r="C53" s="80">
        <f t="shared" si="2"/>
        <v>9.6870342771982112E-3</v>
      </c>
      <c r="D53" s="80">
        <f t="shared" si="2"/>
        <v>0</v>
      </c>
      <c r="E53" s="80">
        <f t="shared" si="2"/>
        <v>0</v>
      </c>
      <c r="F53" s="80">
        <f t="shared" si="2"/>
        <v>0.84351713859910582</v>
      </c>
      <c r="G53" s="80">
        <f t="shared" si="2"/>
        <v>0</v>
      </c>
      <c r="H53" s="80">
        <f t="shared" si="2"/>
        <v>0</v>
      </c>
      <c r="I53" s="80">
        <f t="shared" si="2"/>
        <v>0</v>
      </c>
      <c r="J53" s="80">
        <f t="shared" si="2"/>
        <v>0</v>
      </c>
      <c r="K53" s="80">
        <f t="shared" si="2"/>
        <v>1</v>
      </c>
    </row>
    <row r="54" spans="1:11" ht="13.2" x14ac:dyDescent="0.25">
      <c r="A54" s="74" t="s">
        <v>8</v>
      </c>
      <c r="B54" s="80">
        <f t="shared" ref="B54:K54" si="3">B34/$K34</f>
        <v>8.575803981623277E-2</v>
      </c>
      <c r="C54" s="80">
        <f t="shared" si="3"/>
        <v>3.5732516590096988E-3</v>
      </c>
      <c r="D54" s="80">
        <f t="shared" si="3"/>
        <v>0</v>
      </c>
      <c r="E54" s="80">
        <f t="shared" si="3"/>
        <v>0</v>
      </c>
      <c r="F54" s="80">
        <f t="shared" si="3"/>
        <v>0.91066870852475756</v>
      </c>
      <c r="G54" s="80">
        <f t="shared" si="3"/>
        <v>0</v>
      </c>
      <c r="H54" s="80">
        <f t="shared" si="3"/>
        <v>0</v>
      </c>
      <c r="I54" s="80">
        <f t="shared" si="3"/>
        <v>0</v>
      </c>
      <c r="J54" s="80">
        <f t="shared" si="3"/>
        <v>0</v>
      </c>
      <c r="K54" s="80">
        <f t="shared" si="3"/>
        <v>1</v>
      </c>
    </row>
    <row r="55" spans="1:11" ht="13.2" x14ac:dyDescent="0.25">
      <c r="A55" s="74" t="s">
        <v>9</v>
      </c>
      <c r="B55" s="80">
        <f t="shared" ref="B55:K55" si="4">B35/$K35</f>
        <v>9.4240837696335081E-2</v>
      </c>
      <c r="C55" s="80">
        <f t="shared" si="4"/>
        <v>4.5912202980265805E-2</v>
      </c>
      <c r="D55" s="80">
        <f t="shared" si="4"/>
        <v>1.0068465565847765E-2</v>
      </c>
      <c r="E55" s="80">
        <f t="shared" si="4"/>
        <v>0</v>
      </c>
      <c r="F55" s="80">
        <f t="shared" si="4"/>
        <v>0.84897301651228352</v>
      </c>
      <c r="G55" s="80">
        <f t="shared" si="4"/>
        <v>0</v>
      </c>
      <c r="H55" s="80">
        <f t="shared" si="4"/>
        <v>0</v>
      </c>
      <c r="I55" s="80">
        <f t="shared" si="4"/>
        <v>0</v>
      </c>
      <c r="J55" s="80">
        <f t="shared" si="4"/>
        <v>8.0547724526782122E-4</v>
      </c>
      <c r="K55" s="80">
        <f t="shared" si="4"/>
        <v>1</v>
      </c>
    </row>
    <row r="56" spans="1:11" ht="13.2" x14ac:dyDescent="0.25">
      <c r="A56" s="74" t="s">
        <v>10</v>
      </c>
      <c r="B56" s="80">
        <f t="shared" ref="B56:K56" si="5">B36/$K36</f>
        <v>0.11325611325611326</v>
      </c>
      <c r="C56" s="80">
        <f t="shared" si="5"/>
        <v>2.7027027027027029E-2</v>
      </c>
      <c r="D56" s="80">
        <f t="shared" si="5"/>
        <v>5.5341055341055344E-2</v>
      </c>
      <c r="E56" s="80">
        <f t="shared" si="5"/>
        <v>0</v>
      </c>
      <c r="F56" s="80">
        <f t="shared" si="5"/>
        <v>0.80051480051480051</v>
      </c>
      <c r="G56" s="80">
        <f t="shared" si="5"/>
        <v>0</v>
      </c>
      <c r="H56" s="80">
        <f t="shared" si="5"/>
        <v>0</v>
      </c>
      <c r="I56" s="80">
        <f t="shared" si="5"/>
        <v>0</v>
      </c>
      <c r="J56" s="80">
        <f t="shared" si="5"/>
        <v>3.8610038610038611E-3</v>
      </c>
      <c r="K56" s="80">
        <f t="shared" si="5"/>
        <v>1</v>
      </c>
    </row>
    <row r="57" spans="1:11" ht="13.2" x14ac:dyDescent="0.25">
      <c r="A57" s="74" t="s">
        <v>11</v>
      </c>
      <c r="B57" s="80">
        <f t="shared" ref="B57:K57" si="6">B37/$K37</f>
        <v>2.0495303159692571E-2</v>
      </c>
      <c r="C57" s="80">
        <f t="shared" si="6"/>
        <v>5.9777967549103327E-3</v>
      </c>
      <c r="D57" s="80">
        <f t="shared" si="6"/>
        <v>8.5397096498719043E-4</v>
      </c>
      <c r="E57" s="80">
        <f t="shared" si="6"/>
        <v>0</v>
      </c>
      <c r="F57" s="80">
        <f t="shared" si="6"/>
        <v>0.97181895815542274</v>
      </c>
      <c r="G57" s="80">
        <f t="shared" si="6"/>
        <v>8.5397096498719043E-4</v>
      </c>
      <c r="H57" s="80">
        <f t="shared" si="6"/>
        <v>0</v>
      </c>
      <c r="I57" s="80">
        <f t="shared" si="6"/>
        <v>0</v>
      </c>
      <c r="J57" s="80">
        <f t="shared" si="6"/>
        <v>0</v>
      </c>
      <c r="K57" s="80">
        <f t="shared" si="6"/>
        <v>1</v>
      </c>
    </row>
    <row r="58" spans="1:11" ht="13.2" x14ac:dyDescent="0.25">
      <c r="A58" s="74" t="s">
        <v>12</v>
      </c>
      <c r="B58" s="80">
        <f t="shared" ref="B58:K58" si="7">B38/$K38</f>
        <v>0.1235782354749462</v>
      </c>
      <c r="C58" s="80">
        <f t="shared" si="7"/>
        <v>3.1970488779588073E-2</v>
      </c>
      <c r="D58" s="80">
        <f t="shared" si="7"/>
        <v>1.0759299108515216E-2</v>
      </c>
      <c r="E58" s="80">
        <f t="shared" si="7"/>
        <v>0</v>
      </c>
      <c r="F58" s="80">
        <f t="shared" si="7"/>
        <v>0.7851214263756533</v>
      </c>
      <c r="G58" s="80">
        <f t="shared" si="7"/>
        <v>0</v>
      </c>
      <c r="H58" s="80">
        <f t="shared" si="7"/>
        <v>1.9674146941284967E-2</v>
      </c>
      <c r="I58" s="80">
        <f t="shared" si="7"/>
        <v>2.2748232400860744E-2</v>
      </c>
      <c r="J58" s="80">
        <f t="shared" si="7"/>
        <v>6.1481709191515523E-3</v>
      </c>
      <c r="K58" s="80">
        <f t="shared" si="7"/>
        <v>1</v>
      </c>
    </row>
    <row r="59" spans="1:11" ht="13.2" x14ac:dyDescent="0.25">
      <c r="A59" s="74" t="s">
        <v>13</v>
      </c>
      <c r="B59" s="80">
        <f t="shared" ref="B59:K59" si="8">B39/$K39</f>
        <v>0</v>
      </c>
      <c r="C59" s="80">
        <f t="shared" si="8"/>
        <v>0</v>
      </c>
      <c r="D59" s="80">
        <f t="shared" si="8"/>
        <v>0</v>
      </c>
      <c r="E59" s="80">
        <f t="shared" si="8"/>
        <v>0</v>
      </c>
      <c r="F59" s="80">
        <f t="shared" si="8"/>
        <v>1</v>
      </c>
      <c r="G59" s="80">
        <f t="shared" si="8"/>
        <v>0</v>
      </c>
      <c r="H59" s="80">
        <f t="shared" si="8"/>
        <v>0</v>
      </c>
      <c r="I59" s="80">
        <f t="shared" si="8"/>
        <v>0</v>
      </c>
      <c r="J59" s="80">
        <f t="shared" si="8"/>
        <v>0</v>
      </c>
      <c r="K59" s="80">
        <f t="shared" si="8"/>
        <v>1</v>
      </c>
    </row>
    <row r="60" spans="1:11" ht="13.2" x14ac:dyDescent="0.25">
      <c r="A60" s="74" t="s">
        <v>14</v>
      </c>
      <c r="B60" s="80">
        <f t="shared" ref="B60:K60" si="9">B40/$K40</f>
        <v>1.2942191544434857E-2</v>
      </c>
      <c r="C60" s="80">
        <f t="shared" si="9"/>
        <v>7.7653149266609144E-3</v>
      </c>
      <c r="D60" s="80">
        <f t="shared" si="9"/>
        <v>6.9025021570319244E-3</v>
      </c>
      <c r="E60" s="80">
        <f t="shared" si="9"/>
        <v>0</v>
      </c>
      <c r="F60" s="80">
        <f t="shared" si="9"/>
        <v>0.97152717860224336</v>
      </c>
      <c r="G60" s="80">
        <f t="shared" si="9"/>
        <v>0</v>
      </c>
      <c r="H60" s="80">
        <f t="shared" si="9"/>
        <v>0</v>
      </c>
      <c r="I60" s="80">
        <f t="shared" si="9"/>
        <v>0</v>
      </c>
      <c r="J60" s="80">
        <f t="shared" si="9"/>
        <v>8.6281276962899055E-4</v>
      </c>
      <c r="K60" s="80">
        <f t="shared" si="9"/>
        <v>1</v>
      </c>
    </row>
    <row r="61" spans="1:11" ht="13.2" x14ac:dyDescent="0.25">
      <c r="A61" s="74" t="s">
        <v>15</v>
      </c>
      <c r="B61" s="80">
        <f t="shared" ref="B61:K61" si="10">B41/$K41</f>
        <v>3.6585365853658534E-2</v>
      </c>
      <c r="C61" s="80">
        <f t="shared" si="10"/>
        <v>3.6585365853658534E-2</v>
      </c>
      <c r="D61" s="80">
        <f t="shared" si="10"/>
        <v>0</v>
      </c>
      <c r="E61" s="80">
        <f t="shared" si="10"/>
        <v>0</v>
      </c>
      <c r="F61" s="80">
        <f t="shared" si="10"/>
        <v>0.92682926829268297</v>
      </c>
      <c r="G61" s="80">
        <f t="shared" si="10"/>
        <v>0</v>
      </c>
      <c r="H61" s="80">
        <f t="shared" si="10"/>
        <v>0</v>
      </c>
      <c r="I61" s="80">
        <f t="shared" si="10"/>
        <v>0</v>
      </c>
      <c r="J61" s="80">
        <f t="shared" si="10"/>
        <v>0</v>
      </c>
      <c r="K61" s="80">
        <f t="shared" si="10"/>
        <v>1</v>
      </c>
    </row>
    <row r="62" spans="1:11" ht="13.2" x14ac:dyDescent="0.25">
      <c r="A62" s="74" t="s">
        <v>16</v>
      </c>
      <c r="B62" s="80">
        <f t="shared" ref="B62:K62" si="11">B42/$K42</f>
        <v>2.8571428571428571E-2</v>
      </c>
      <c r="C62" s="80">
        <f t="shared" si="11"/>
        <v>2.8571428571428571E-2</v>
      </c>
      <c r="D62" s="80">
        <f t="shared" si="11"/>
        <v>3.4285714285714287E-2</v>
      </c>
      <c r="E62" s="80">
        <f t="shared" si="11"/>
        <v>0</v>
      </c>
      <c r="F62" s="80">
        <f t="shared" si="11"/>
        <v>0.84</v>
      </c>
      <c r="G62" s="80">
        <f t="shared" si="11"/>
        <v>0</v>
      </c>
      <c r="H62" s="80">
        <f t="shared" si="11"/>
        <v>0</v>
      </c>
      <c r="I62" s="80">
        <f t="shared" si="11"/>
        <v>0</v>
      </c>
      <c r="J62" s="80">
        <f t="shared" si="11"/>
        <v>6.8571428571428575E-2</v>
      </c>
      <c r="K62" s="80">
        <f t="shared" si="11"/>
        <v>1</v>
      </c>
    </row>
    <row r="63" spans="1:11" ht="13.2" x14ac:dyDescent="0.25">
      <c r="A63" s="74" t="s">
        <v>17</v>
      </c>
      <c r="B63" s="80">
        <f t="shared" ref="B63:K63" si="12">B43/$K43</f>
        <v>0</v>
      </c>
      <c r="C63" s="80">
        <f t="shared" si="12"/>
        <v>0</v>
      </c>
      <c r="D63" s="80">
        <f t="shared" si="12"/>
        <v>0</v>
      </c>
      <c r="E63" s="80">
        <f t="shared" si="12"/>
        <v>0</v>
      </c>
      <c r="F63" s="80">
        <f t="shared" si="12"/>
        <v>1</v>
      </c>
      <c r="G63" s="80">
        <f t="shared" si="12"/>
        <v>0</v>
      </c>
      <c r="H63" s="80">
        <f t="shared" si="12"/>
        <v>0</v>
      </c>
      <c r="I63" s="80">
        <f t="shared" si="12"/>
        <v>0</v>
      </c>
      <c r="J63" s="80">
        <f t="shared" si="12"/>
        <v>0</v>
      </c>
      <c r="K63" s="80">
        <f t="shared" si="12"/>
        <v>1</v>
      </c>
    </row>
    <row r="64" spans="1:11" ht="34.200000000000003" x14ac:dyDescent="0.25">
      <c r="A64" s="74" t="s">
        <v>18</v>
      </c>
      <c r="B64" s="80">
        <f t="shared" ref="B64:K64" si="13">B44/$K44</f>
        <v>0</v>
      </c>
      <c r="C64" s="80">
        <f t="shared" si="13"/>
        <v>0</v>
      </c>
      <c r="D64" s="80">
        <f t="shared" si="13"/>
        <v>0</v>
      </c>
      <c r="E64" s="80">
        <f t="shared" si="13"/>
        <v>1</v>
      </c>
      <c r="F64" s="80">
        <f t="shared" si="13"/>
        <v>0</v>
      </c>
      <c r="G64" s="80">
        <f t="shared" si="13"/>
        <v>0</v>
      </c>
      <c r="H64" s="80">
        <f t="shared" si="13"/>
        <v>0</v>
      </c>
      <c r="I64" s="80">
        <f t="shared" si="13"/>
        <v>0</v>
      </c>
      <c r="J64" s="80">
        <f t="shared" si="13"/>
        <v>0</v>
      </c>
      <c r="K64" s="80">
        <f t="shared" si="13"/>
        <v>1</v>
      </c>
    </row>
    <row r="65" spans="1:11" ht="22.8" x14ac:dyDescent="0.25">
      <c r="A65" s="74" t="s">
        <v>19</v>
      </c>
      <c r="B65" s="80">
        <f t="shared" ref="B65:K65" si="14">B45/$K45</f>
        <v>0.33333333333333331</v>
      </c>
      <c r="C65" s="80">
        <f t="shared" si="14"/>
        <v>0</v>
      </c>
      <c r="D65" s="80">
        <f t="shared" si="14"/>
        <v>0</v>
      </c>
      <c r="E65" s="80">
        <f t="shared" si="14"/>
        <v>0</v>
      </c>
      <c r="F65" s="80">
        <f t="shared" si="14"/>
        <v>0.66666666666666663</v>
      </c>
      <c r="G65" s="80">
        <f t="shared" si="14"/>
        <v>0</v>
      </c>
      <c r="H65" s="80">
        <f t="shared" si="14"/>
        <v>0</v>
      </c>
      <c r="I65" s="80">
        <f t="shared" si="14"/>
        <v>0</v>
      </c>
      <c r="J65" s="80">
        <f t="shared" si="14"/>
        <v>0</v>
      </c>
      <c r="K65" s="80">
        <f t="shared" si="14"/>
        <v>1</v>
      </c>
    </row>
    <row r="66" spans="1:11" ht="13.2" x14ac:dyDescent="0.25">
      <c r="A66" s="74" t="s">
        <v>20</v>
      </c>
      <c r="B66" s="80">
        <f t="shared" ref="B66:J66" si="15">B46/$K$66</f>
        <v>0.1004717313243681</v>
      </c>
      <c r="C66" s="80">
        <f t="shared" si="15"/>
        <v>2.2248820671689078E-2</v>
      </c>
      <c r="D66" s="80">
        <f t="shared" si="15"/>
        <v>8.4489192424135745E-3</v>
      </c>
      <c r="E66" s="80">
        <f t="shared" si="15"/>
        <v>2.1826374709568402E-3</v>
      </c>
      <c r="F66" s="80">
        <f t="shared" si="15"/>
        <v>0.85418573540801235</v>
      </c>
      <c r="G66" s="80">
        <f t="shared" si="15"/>
        <v>7.040766035344645E-5</v>
      </c>
      <c r="H66" s="80">
        <f t="shared" si="15"/>
        <v>4.5060902626205728E-3</v>
      </c>
      <c r="I66" s="80">
        <f t="shared" si="15"/>
        <v>5.2101668661550379E-3</v>
      </c>
      <c r="J66" s="80">
        <f t="shared" si="15"/>
        <v>2.6754910934309651E-3</v>
      </c>
      <c r="K66" s="37">
        <v>14203</v>
      </c>
    </row>
  </sheetData>
  <mergeCells count="2">
    <mergeCell ref="B28:J28"/>
    <mergeCell ref="B48:K48"/>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zoomScale="80" zoomScaleNormal="80" workbookViewId="0">
      <selection activeCell="A20" sqref="A20"/>
    </sheetView>
  </sheetViews>
  <sheetFormatPr defaultColWidth="11.5546875" defaultRowHeight="12.75" customHeight="1" x14ac:dyDescent="0.25"/>
  <sheetData>
    <row r="1" spans="1:19" ht="16.2" x14ac:dyDescent="0.3">
      <c r="A1" s="11" t="s">
        <v>110</v>
      </c>
      <c r="B1" s="12"/>
      <c r="C1" s="13"/>
      <c r="D1" s="13"/>
      <c r="E1" s="13"/>
      <c r="F1" s="13"/>
      <c r="G1" s="13"/>
      <c r="H1" s="13"/>
      <c r="I1" s="13"/>
      <c r="J1" s="13"/>
      <c r="K1" s="13"/>
      <c r="L1" s="13"/>
      <c r="M1" s="13"/>
      <c r="N1" s="13"/>
      <c r="O1" s="13"/>
      <c r="P1" s="13"/>
      <c r="Q1" s="13"/>
      <c r="R1" s="13"/>
      <c r="S1" s="12"/>
    </row>
    <row r="2" spans="1:19" ht="13.2" x14ac:dyDescent="0.25">
      <c r="A2" s="12"/>
      <c r="B2" s="12"/>
      <c r="C2" s="13"/>
      <c r="D2" s="13"/>
      <c r="E2" s="67"/>
      <c r="F2" s="67"/>
      <c r="G2" s="67"/>
      <c r="H2" s="67"/>
      <c r="I2" s="67"/>
      <c r="J2" s="67"/>
      <c r="K2" s="67"/>
      <c r="L2" s="67"/>
      <c r="M2" s="67"/>
      <c r="N2" s="67"/>
      <c r="O2" s="67"/>
      <c r="P2" s="67"/>
      <c r="Q2" s="67"/>
      <c r="R2" s="67"/>
      <c r="S2" s="81"/>
    </row>
    <row r="3" spans="1:19" ht="22.8" x14ac:dyDescent="0.25">
      <c r="A3" s="68" t="s">
        <v>1</v>
      </c>
      <c r="B3" s="68" t="s">
        <v>2</v>
      </c>
      <c r="C3" s="68" t="s">
        <v>3</v>
      </c>
      <c r="D3" s="68" t="s">
        <v>4</v>
      </c>
      <c r="E3" s="68" t="s">
        <v>5</v>
      </c>
      <c r="F3" s="68" t="s">
        <v>6</v>
      </c>
      <c r="G3" s="68" t="s">
        <v>7</v>
      </c>
      <c r="H3" s="68" t="s">
        <v>8</v>
      </c>
      <c r="I3" s="68" t="s">
        <v>9</v>
      </c>
      <c r="J3" s="68" t="s">
        <v>10</v>
      </c>
      <c r="K3" s="68" t="s">
        <v>11</v>
      </c>
      <c r="L3" s="68" t="s">
        <v>12</v>
      </c>
      <c r="M3" s="68" t="s">
        <v>13</v>
      </c>
      <c r="N3" s="68" t="s">
        <v>14</v>
      </c>
      <c r="O3" s="68" t="s">
        <v>15</v>
      </c>
      <c r="P3" s="68" t="s">
        <v>16</v>
      </c>
      <c r="Q3" s="68" t="s">
        <v>17</v>
      </c>
      <c r="R3" s="68" t="s">
        <v>19</v>
      </c>
      <c r="S3" s="68" t="s">
        <v>20</v>
      </c>
    </row>
    <row r="4" spans="1:19" ht="34.200000000000003" x14ac:dyDescent="0.25">
      <c r="A4" s="15"/>
      <c r="B4" s="16" t="s">
        <v>21</v>
      </c>
      <c r="C4" s="17" t="s">
        <v>22</v>
      </c>
      <c r="D4" s="18" t="s">
        <v>111</v>
      </c>
      <c r="E4" s="19">
        <v>4</v>
      </c>
      <c r="F4" s="19"/>
      <c r="G4" s="19"/>
      <c r="H4" s="19"/>
      <c r="I4" s="19"/>
      <c r="J4" s="19"/>
      <c r="K4" s="20"/>
      <c r="L4" s="19"/>
      <c r="M4" s="20"/>
      <c r="N4" s="19">
        <v>2</v>
      </c>
      <c r="O4" s="19"/>
      <c r="P4" s="19"/>
      <c r="Q4" s="19"/>
      <c r="R4" s="20"/>
      <c r="S4" s="21">
        <v>6</v>
      </c>
    </row>
    <row r="5" spans="1:19" ht="13.2" x14ac:dyDescent="0.25">
      <c r="A5" s="15"/>
      <c r="B5" s="15"/>
      <c r="C5" s="82"/>
      <c r="D5" s="18" t="s">
        <v>26</v>
      </c>
      <c r="E5" s="19">
        <v>4</v>
      </c>
      <c r="F5" s="19"/>
      <c r="G5" s="19"/>
      <c r="H5" s="19"/>
      <c r="I5" s="19"/>
      <c r="J5" s="19"/>
      <c r="K5" s="20"/>
      <c r="L5" s="19"/>
      <c r="M5" s="20"/>
      <c r="N5" s="19">
        <v>2</v>
      </c>
      <c r="O5" s="19"/>
      <c r="P5" s="19"/>
      <c r="Q5" s="19"/>
      <c r="R5" s="20"/>
      <c r="S5" s="21">
        <v>6</v>
      </c>
    </row>
    <row r="6" spans="1:19" ht="13.2" x14ac:dyDescent="0.25">
      <c r="A6" s="15"/>
      <c r="B6" s="15"/>
      <c r="C6" s="17" t="s">
        <v>30</v>
      </c>
      <c r="D6" s="18" t="s">
        <v>112</v>
      </c>
      <c r="E6" s="19">
        <v>174</v>
      </c>
      <c r="F6" s="19">
        <v>20</v>
      </c>
      <c r="G6" s="19">
        <v>52</v>
      </c>
      <c r="H6" s="19">
        <v>62</v>
      </c>
      <c r="I6" s="19">
        <v>42</v>
      </c>
      <c r="J6" s="19">
        <v>47</v>
      </c>
      <c r="K6" s="19">
        <v>11</v>
      </c>
      <c r="L6" s="19">
        <v>83</v>
      </c>
      <c r="M6" s="20"/>
      <c r="N6" s="19">
        <v>3</v>
      </c>
      <c r="O6" s="19">
        <v>15</v>
      </c>
      <c r="P6" s="19">
        <v>32</v>
      </c>
      <c r="Q6" s="19">
        <v>45</v>
      </c>
      <c r="R6" s="20">
        <v>1</v>
      </c>
      <c r="S6" s="21">
        <v>587</v>
      </c>
    </row>
    <row r="7" spans="1:19" ht="13.2" x14ac:dyDescent="0.25">
      <c r="A7" s="15"/>
      <c r="B7" s="15"/>
      <c r="C7" s="83"/>
      <c r="D7" s="18" t="s">
        <v>113</v>
      </c>
      <c r="E7" s="19">
        <v>84</v>
      </c>
      <c r="F7" s="20">
        <v>16</v>
      </c>
      <c r="G7" s="19">
        <v>32</v>
      </c>
      <c r="H7" s="19">
        <v>33</v>
      </c>
      <c r="I7" s="20">
        <v>7</v>
      </c>
      <c r="J7" s="19">
        <v>37</v>
      </c>
      <c r="K7" s="20"/>
      <c r="L7" s="19">
        <v>25</v>
      </c>
      <c r="M7" s="20"/>
      <c r="N7" s="20">
        <v>3</v>
      </c>
      <c r="O7" s="19">
        <v>1</v>
      </c>
      <c r="P7" s="19">
        <v>4</v>
      </c>
      <c r="Q7" s="19">
        <v>6</v>
      </c>
      <c r="R7" s="20"/>
      <c r="S7" s="21">
        <v>248</v>
      </c>
    </row>
    <row r="8" spans="1:19" ht="13.2" x14ac:dyDescent="0.25">
      <c r="A8" s="15"/>
      <c r="B8" s="15"/>
      <c r="C8" s="83"/>
      <c r="D8" s="18" t="s">
        <v>114</v>
      </c>
      <c r="E8" s="19">
        <v>18</v>
      </c>
      <c r="F8" s="19">
        <v>1</v>
      </c>
      <c r="G8" s="19">
        <v>4</v>
      </c>
      <c r="H8" s="19">
        <v>6</v>
      </c>
      <c r="I8" s="19">
        <v>2</v>
      </c>
      <c r="J8" s="19">
        <v>8</v>
      </c>
      <c r="K8" s="20"/>
      <c r="L8" s="19">
        <v>11</v>
      </c>
      <c r="M8" s="20"/>
      <c r="N8" s="20"/>
      <c r="O8" s="20">
        <v>1</v>
      </c>
      <c r="P8" s="19">
        <v>3</v>
      </c>
      <c r="Q8" s="19">
        <v>2</v>
      </c>
      <c r="R8" s="20"/>
      <c r="S8" s="84">
        <v>56</v>
      </c>
    </row>
    <row r="9" spans="1:19" ht="13.2" x14ac:dyDescent="0.25">
      <c r="A9" s="15"/>
      <c r="B9" s="15"/>
      <c r="C9" s="83"/>
      <c r="D9" s="18" t="s">
        <v>115</v>
      </c>
      <c r="E9" s="19">
        <v>57</v>
      </c>
      <c r="F9" s="19">
        <v>10</v>
      </c>
      <c r="G9" s="19">
        <v>35</v>
      </c>
      <c r="H9" s="19">
        <v>38</v>
      </c>
      <c r="I9" s="19">
        <v>9</v>
      </c>
      <c r="J9" s="19">
        <v>26</v>
      </c>
      <c r="K9" s="20"/>
      <c r="L9" s="19">
        <v>41</v>
      </c>
      <c r="M9" s="20"/>
      <c r="N9" s="20">
        <v>1</v>
      </c>
      <c r="O9" s="20"/>
      <c r="P9" s="19">
        <v>7</v>
      </c>
      <c r="Q9" s="19">
        <v>17</v>
      </c>
      <c r="R9" s="20"/>
      <c r="S9" s="84">
        <v>241</v>
      </c>
    </row>
    <row r="10" spans="1:19" ht="13.2" x14ac:dyDescent="0.25">
      <c r="A10" s="15"/>
      <c r="B10" s="15"/>
      <c r="C10" s="83"/>
      <c r="D10" s="18" t="s">
        <v>116</v>
      </c>
      <c r="E10" s="19">
        <v>70</v>
      </c>
      <c r="F10" s="19">
        <v>10</v>
      </c>
      <c r="G10" s="19">
        <v>26</v>
      </c>
      <c r="H10" s="19">
        <v>35</v>
      </c>
      <c r="I10" s="19">
        <v>7</v>
      </c>
      <c r="J10" s="19">
        <v>38</v>
      </c>
      <c r="K10" s="19"/>
      <c r="L10" s="19">
        <v>39</v>
      </c>
      <c r="M10" s="20"/>
      <c r="N10" s="19">
        <v>1</v>
      </c>
      <c r="O10" s="19">
        <v>1</v>
      </c>
      <c r="P10" s="19">
        <v>5</v>
      </c>
      <c r="Q10" s="19">
        <v>12</v>
      </c>
      <c r="R10" s="20">
        <v>1</v>
      </c>
      <c r="S10" s="21">
        <v>245</v>
      </c>
    </row>
    <row r="11" spans="1:19" ht="13.2" x14ac:dyDescent="0.25">
      <c r="A11" s="15"/>
      <c r="B11" s="15"/>
      <c r="C11" s="83"/>
      <c r="D11" s="18" t="s">
        <v>117</v>
      </c>
      <c r="E11" s="20"/>
      <c r="F11" s="20"/>
      <c r="G11" s="20"/>
      <c r="H11" s="20"/>
      <c r="I11" s="20"/>
      <c r="J11" s="20"/>
      <c r="K11" s="20"/>
      <c r="L11" s="19"/>
      <c r="M11" s="20"/>
      <c r="N11" s="20"/>
      <c r="O11" s="20"/>
      <c r="P11" s="20">
        <v>1</v>
      </c>
      <c r="Q11" s="20">
        <v>1</v>
      </c>
      <c r="R11" s="20"/>
      <c r="S11" s="84">
        <v>2</v>
      </c>
    </row>
    <row r="12" spans="1:19" ht="13.2" x14ac:dyDescent="0.25">
      <c r="A12" s="15"/>
      <c r="B12" s="15"/>
      <c r="C12" s="83"/>
      <c r="D12" s="18" t="s">
        <v>118</v>
      </c>
      <c r="E12" s="20">
        <v>1</v>
      </c>
      <c r="F12" s="20">
        <v>3</v>
      </c>
      <c r="G12" s="20">
        <v>13</v>
      </c>
      <c r="H12" s="20">
        <v>29</v>
      </c>
      <c r="I12" s="20">
        <v>4</v>
      </c>
      <c r="J12" s="20">
        <v>32</v>
      </c>
      <c r="K12" s="20"/>
      <c r="L12" s="19">
        <v>11</v>
      </c>
      <c r="M12" s="20"/>
      <c r="N12" s="20"/>
      <c r="O12" s="20"/>
      <c r="P12" s="20">
        <v>3</v>
      </c>
      <c r="Q12" s="20">
        <v>13</v>
      </c>
      <c r="R12" s="20"/>
      <c r="S12" s="84">
        <v>109</v>
      </c>
    </row>
    <row r="13" spans="1:19" ht="13.2" x14ac:dyDescent="0.25">
      <c r="A13" s="15"/>
      <c r="B13" s="15"/>
      <c r="C13" s="83"/>
      <c r="D13" s="18" t="s">
        <v>119</v>
      </c>
      <c r="E13" s="20">
        <v>1</v>
      </c>
      <c r="F13" s="20"/>
      <c r="G13" s="20">
        <v>2</v>
      </c>
      <c r="H13" s="19">
        <v>5</v>
      </c>
      <c r="I13" s="19">
        <v>1</v>
      </c>
      <c r="J13" s="19">
        <v>5</v>
      </c>
      <c r="K13" s="20"/>
      <c r="L13" s="19">
        <v>3</v>
      </c>
      <c r="M13" s="20"/>
      <c r="N13" s="20">
        <v>1</v>
      </c>
      <c r="O13" s="20"/>
      <c r="P13" s="19">
        <v>4</v>
      </c>
      <c r="Q13" s="19">
        <v>5</v>
      </c>
      <c r="R13" s="20"/>
      <c r="S13" s="84">
        <v>27</v>
      </c>
    </row>
    <row r="14" spans="1:19" ht="13.2" x14ac:dyDescent="0.25">
      <c r="A14" s="15"/>
      <c r="B14" s="15"/>
      <c r="C14" s="82"/>
      <c r="D14" s="18" t="s">
        <v>26</v>
      </c>
      <c r="E14" s="20">
        <v>405</v>
      </c>
      <c r="F14" s="20">
        <v>60</v>
      </c>
      <c r="G14" s="20">
        <v>164</v>
      </c>
      <c r="H14" s="19">
        <v>208</v>
      </c>
      <c r="I14" s="19">
        <v>72</v>
      </c>
      <c r="J14" s="19">
        <v>193</v>
      </c>
      <c r="K14" s="20">
        <v>11</v>
      </c>
      <c r="L14" s="19">
        <v>213</v>
      </c>
      <c r="M14" s="20"/>
      <c r="N14" s="20">
        <v>9</v>
      </c>
      <c r="O14" s="20">
        <v>18</v>
      </c>
      <c r="P14" s="19">
        <v>59</v>
      </c>
      <c r="Q14" s="19">
        <v>101</v>
      </c>
      <c r="R14" s="20">
        <v>2</v>
      </c>
      <c r="S14" s="84">
        <v>1515</v>
      </c>
    </row>
    <row r="15" spans="1:19" ht="13.2" x14ac:dyDescent="0.25">
      <c r="A15" s="15"/>
      <c r="B15" s="26"/>
      <c r="C15" s="27" t="s">
        <v>26</v>
      </c>
      <c r="D15" s="85"/>
      <c r="E15" s="19">
        <v>409</v>
      </c>
      <c r="F15" s="19">
        <v>60</v>
      </c>
      <c r="G15" s="19">
        <v>164</v>
      </c>
      <c r="H15" s="19">
        <v>208</v>
      </c>
      <c r="I15" s="19">
        <v>72</v>
      </c>
      <c r="J15" s="19">
        <v>193</v>
      </c>
      <c r="K15" s="19">
        <v>11</v>
      </c>
      <c r="L15" s="19">
        <v>213</v>
      </c>
      <c r="M15" s="20"/>
      <c r="N15" s="19">
        <v>11</v>
      </c>
      <c r="O15" s="19">
        <v>18</v>
      </c>
      <c r="P15" s="19">
        <v>59</v>
      </c>
      <c r="Q15" s="19">
        <v>101</v>
      </c>
      <c r="R15" s="19">
        <v>2</v>
      </c>
      <c r="S15" s="21">
        <v>1521</v>
      </c>
    </row>
    <row r="20" spans="1:4" ht="23.85" customHeight="1" x14ac:dyDescent="0.25">
      <c r="A20" s="72" t="s">
        <v>2</v>
      </c>
      <c r="B20" s="7" t="s">
        <v>120</v>
      </c>
      <c r="C20" s="7"/>
      <c r="D20" s="7"/>
    </row>
    <row r="21" spans="1:4" ht="22.8" x14ac:dyDescent="0.25">
      <c r="A21" s="72" t="s">
        <v>3</v>
      </c>
      <c r="B21" s="77" t="s">
        <v>22</v>
      </c>
      <c r="C21" s="77" t="s">
        <v>30</v>
      </c>
      <c r="D21" s="77" t="s">
        <v>26</v>
      </c>
    </row>
    <row r="22" spans="1:4" ht="13.2" x14ac:dyDescent="0.25">
      <c r="A22" s="72" t="s">
        <v>4</v>
      </c>
      <c r="B22" s="86"/>
      <c r="C22" s="86"/>
      <c r="D22" s="87"/>
    </row>
    <row r="23" spans="1:4" ht="13.2" x14ac:dyDescent="0.25">
      <c r="A23" s="72" t="s">
        <v>5</v>
      </c>
      <c r="B23" s="88">
        <v>4</v>
      </c>
      <c r="C23" s="89">
        <v>405</v>
      </c>
      <c r="D23" s="88">
        <v>409</v>
      </c>
    </row>
    <row r="24" spans="1:4" ht="13.2" x14ac:dyDescent="0.25">
      <c r="A24" s="72" t="s">
        <v>6</v>
      </c>
      <c r="B24" s="88"/>
      <c r="C24" s="89">
        <v>60</v>
      </c>
      <c r="D24" s="88">
        <v>60</v>
      </c>
    </row>
    <row r="25" spans="1:4" ht="13.2" x14ac:dyDescent="0.25">
      <c r="A25" s="72" t="s">
        <v>7</v>
      </c>
      <c r="B25" s="88"/>
      <c r="C25" s="89">
        <v>164</v>
      </c>
      <c r="D25" s="88">
        <v>164</v>
      </c>
    </row>
    <row r="26" spans="1:4" ht="13.2" x14ac:dyDescent="0.25">
      <c r="A26" s="72" t="s">
        <v>8</v>
      </c>
      <c r="B26" s="88"/>
      <c r="C26" s="88">
        <v>208</v>
      </c>
      <c r="D26" s="88">
        <v>208</v>
      </c>
    </row>
    <row r="27" spans="1:4" ht="13.2" x14ac:dyDescent="0.25">
      <c r="A27" s="72" t="s">
        <v>9</v>
      </c>
      <c r="B27" s="88"/>
      <c r="C27" s="88">
        <v>72</v>
      </c>
      <c r="D27" s="88">
        <v>72</v>
      </c>
    </row>
    <row r="28" spans="1:4" ht="13.2" x14ac:dyDescent="0.25">
      <c r="A28" s="72" t="s">
        <v>10</v>
      </c>
      <c r="B28" s="88"/>
      <c r="C28" s="88">
        <v>193</v>
      </c>
      <c r="D28" s="88">
        <v>193</v>
      </c>
    </row>
    <row r="29" spans="1:4" ht="13.2" x14ac:dyDescent="0.25">
      <c r="A29" s="72" t="s">
        <v>11</v>
      </c>
      <c r="B29" s="89"/>
      <c r="C29" s="89">
        <v>11</v>
      </c>
      <c r="D29" s="88">
        <v>11</v>
      </c>
    </row>
    <row r="30" spans="1:4" ht="13.2" x14ac:dyDescent="0.25">
      <c r="A30" s="72" t="s">
        <v>12</v>
      </c>
      <c r="B30" s="88"/>
      <c r="C30" s="88">
        <v>213</v>
      </c>
      <c r="D30" s="88">
        <v>213</v>
      </c>
    </row>
    <row r="31" spans="1:4" ht="13.2" x14ac:dyDescent="0.25">
      <c r="A31" s="72" t="s">
        <v>13</v>
      </c>
      <c r="B31" s="89"/>
      <c r="C31" s="89"/>
      <c r="D31" s="89"/>
    </row>
    <row r="32" spans="1:4" ht="13.2" x14ac:dyDescent="0.25">
      <c r="A32" s="72" t="s">
        <v>14</v>
      </c>
      <c r="B32" s="88">
        <v>2</v>
      </c>
      <c r="C32" s="89">
        <v>9</v>
      </c>
      <c r="D32" s="88">
        <v>11</v>
      </c>
    </row>
    <row r="33" spans="1:4" ht="13.2" x14ac:dyDescent="0.25">
      <c r="A33" s="72" t="s">
        <v>15</v>
      </c>
      <c r="B33" s="88"/>
      <c r="C33" s="89">
        <v>18</v>
      </c>
      <c r="D33" s="88">
        <v>18</v>
      </c>
    </row>
    <row r="34" spans="1:4" ht="13.2" x14ac:dyDescent="0.25">
      <c r="A34" s="72" t="s">
        <v>16</v>
      </c>
      <c r="B34" s="88"/>
      <c r="C34" s="88">
        <v>59</v>
      </c>
      <c r="D34" s="88">
        <v>59</v>
      </c>
    </row>
    <row r="35" spans="1:4" ht="13.2" x14ac:dyDescent="0.25">
      <c r="A35" s="72" t="s">
        <v>17</v>
      </c>
      <c r="B35" s="88"/>
      <c r="C35" s="88">
        <v>101</v>
      </c>
      <c r="D35" s="88">
        <v>101</v>
      </c>
    </row>
    <row r="36" spans="1:4" ht="22.8" x14ac:dyDescent="0.25">
      <c r="A36" s="72" t="s">
        <v>19</v>
      </c>
      <c r="B36" s="89"/>
      <c r="C36" s="89">
        <v>2</v>
      </c>
      <c r="D36" s="88">
        <v>2</v>
      </c>
    </row>
    <row r="37" spans="1:4" ht="13.2" x14ac:dyDescent="0.25">
      <c r="A37" s="72" t="s">
        <v>20</v>
      </c>
      <c r="B37" s="90">
        <v>6</v>
      </c>
      <c r="C37" s="91">
        <v>1515</v>
      </c>
      <c r="D37" s="90">
        <v>1521</v>
      </c>
    </row>
    <row r="39" spans="1:4" ht="23.85" customHeight="1" x14ac:dyDescent="0.25">
      <c r="A39" s="72" t="s">
        <v>2</v>
      </c>
      <c r="B39" s="7" t="s">
        <v>121</v>
      </c>
      <c r="C39" s="7"/>
      <c r="D39" s="7"/>
    </row>
    <row r="40" spans="1:4" ht="22.8" x14ac:dyDescent="0.25">
      <c r="A40" s="72" t="s">
        <v>3</v>
      </c>
      <c r="B40" s="77" t="s">
        <v>22</v>
      </c>
      <c r="C40" s="77" t="s">
        <v>30</v>
      </c>
      <c r="D40" s="77" t="s">
        <v>26</v>
      </c>
    </row>
    <row r="41" spans="1:4" ht="13.2" x14ac:dyDescent="0.25">
      <c r="A41" s="72" t="s">
        <v>4</v>
      </c>
      <c r="B41" s="86"/>
      <c r="C41" s="86"/>
      <c r="D41" s="87"/>
    </row>
    <row r="42" spans="1:4" ht="13.2" x14ac:dyDescent="0.25">
      <c r="A42" s="72" t="s">
        <v>5</v>
      </c>
      <c r="B42" s="92">
        <f>B23/$D$23</f>
        <v>9.7799511002444987E-3</v>
      </c>
      <c r="C42" s="92">
        <f>C23/$D$23</f>
        <v>0.99022004889975546</v>
      </c>
      <c r="D42" s="92">
        <f>D23/$D$23</f>
        <v>1</v>
      </c>
    </row>
    <row r="43" spans="1:4" ht="13.2" x14ac:dyDescent="0.25">
      <c r="A43" s="72" t="s">
        <v>6</v>
      </c>
      <c r="B43" s="92">
        <f>B24/$D$24</f>
        <v>0</v>
      </c>
      <c r="C43" s="92">
        <f>C24/$D$24</f>
        <v>1</v>
      </c>
      <c r="D43" s="92">
        <f>D24/$D$24</f>
        <v>1</v>
      </c>
    </row>
    <row r="44" spans="1:4" ht="13.2" x14ac:dyDescent="0.25">
      <c r="A44" s="72" t="s">
        <v>7</v>
      </c>
      <c r="B44" s="92">
        <f>B25/$D$25</f>
        <v>0</v>
      </c>
      <c r="C44" s="92">
        <f>C25/$D$25</f>
        <v>1</v>
      </c>
      <c r="D44" s="92">
        <f>D25/$D$25</f>
        <v>1</v>
      </c>
    </row>
    <row r="45" spans="1:4" ht="13.2" x14ac:dyDescent="0.25">
      <c r="A45" s="72" t="s">
        <v>8</v>
      </c>
      <c r="B45" s="92">
        <f>B26/$D$26</f>
        <v>0</v>
      </c>
      <c r="C45" s="92">
        <f>C26/$D$26</f>
        <v>1</v>
      </c>
      <c r="D45" s="92">
        <f>D26/$D$26</f>
        <v>1</v>
      </c>
    </row>
    <row r="46" spans="1:4" ht="13.2" x14ac:dyDescent="0.25">
      <c r="A46" s="72" t="s">
        <v>9</v>
      </c>
      <c r="B46" s="92">
        <f>B27/$D$27</f>
        <v>0</v>
      </c>
      <c r="C46" s="92">
        <f>C27/$D$27</f>
        <v>1</v>
      </c>
      <c r="D46" s="92">
        <f>D27/$D$27</f>
        <v>1</v>
      </c>
    </row>
    <row r="47" spans="1:4" ht="13.2" x14ac:dyDescent="0.25">
      <c r="A47" s="72" t="s">
        <v>10</v>
      </c>
      <c r="B47" s="92">
        <f>B28/$D$28</f>
        <v>0</v>
      </c>
      <c r="C47" s="92">
        <f>C28/$D$28</f>
        <v>1</v>
      </c>
      <c r="D47" s="92">
        <f>D28/$D$28</f>
        <v>1</v>
      </c>
    </row>
    <row r="48" spans="1:4" ht="13.2" x14ac:dyDescent="0.25">
      <c r="A48" s="72" t="s">
        <v>11</v>
      </c>
      <c r="B48" s="92">
        <f>B29/$D$29</f>
        <v>0</v>
      </c>
      <c r="C48" s="92">
        <f>C29/$D$29</f>
        <v>1</v>
      </c>
      <c r="D48" s="92">
        <f>D29/$D$29</f>
        <v>1</v>
      </c>
    </row>
    <row r="49" spans="1:4" ht="13.2" x14ac:dyDescent="0.25">
      <c r="A49" s="72" t="s">
        <v>12</v>
      </c>
      <c r="B49" s="92">
        <f>B30/$D$30</f>
        <v>0</v>
      </c>
      <c r="C49" s="92">
        <f>C30/$D$30</f>
        <v>1</v>
      </c>
      <c r="D49" s="92">
        <f>D30/$D$30</f>
        <v>1</v>
      </c>
    </row>
    <row r="50" spans="1:4" ht="13.2" x14ac:dyDescent="0.25">
      <c r="A50" s="72" t="s">
        <v>13</v>
      </c>
      <c r="B50" s="92">
        <v>0</v>
      </c>
      <c r="C50" s="92">
        <v>0</v>
      </c>
      <c r="D50" s="92">
        <v>0</v>
      </c>
    </row>
    <row r="51" spans="1:4" ht="13.2" x14ac:dyDescent="0.25">
      <c r="A51" s="72" t="s">
        <v>14</v>
      </c>
      <c r="B51" s="92">
        <f>B32/$D$32</f>
        <v>0.18181818181818182</v>
      </c>
      <c r="C51" s="92">
        <f>C32/$D$32</f>
        <v>0.81818181818181823</v>
      </c>
      <c r="D51" s="92">
        <f>D32/$D$32</f>
        <v>1</v>
      </c>
    </row>
    <row r="52" spans="1:4" ht="13.2" x14ac:dyDescent="0.25">
      <c r="A52" s="72" t="s">
        <v>15</v>
      </c>
      <c r="B52" s="92">
        <f>B33/$D$33</f>
        <v>0</v>
      </c>
      <c r="C52" s="92">
        <f>C33/$D$33</f>
        <v>1</v>
      </c>
      <c r="D52" s="92">
        <f>D33/$D$33</f>
        <v>1</v>
      </c>
    </row>
    <row r="53" spans="1:4" ht="13.2" x14ac:dyDescent="0.25">
      <c r="A53" s="72" t="s">
        <v>16</v>
      </c>
      <c r="B53" s="92">
        <f>B34/$D$34</f>
        <v>0</v>
      </c>
      <c r="C53" s="92">
        <f>C34/$D$34</f>
        <v>1</v>
      </c>
      <c r="D53" s="92">
        <f>D34/$D$34</f>
        <v>1</v>
      </c>
    </row>
    <row r="54" spans="1:4" ht="13.2" x14ac:dyDescent="0.25">
      <c r="A54" s="72" t="s">
        <v>17</v>
      </c>
      <c r="B54" s="92">
        <f>B35/$D$35</f>
        <v>0</v>
      </c>
      <c r="C54" s="92">
        <f>C35/$D$35</f>
        <v>1</v>
      </c>
      <c r="D54" s="92">
        <f>D35/$D$35</f>
        <v>1</v>
      </c>
    </row>
    <row r="55" spans="1:4" ht="22.8" x14ac:dyDescent="0.25">
      <c r="A55" s="72" t="s">
        <v>19</v>
      </c>
      <c r="B55" s="92">
        <f>B36/$D$36</f>
        <v>0</v>
      </c>
      <c r="C55" s="92">
        <f>C36/$D$36</f>
        <v>1</v>
      </c>
      <c r="D55" s="92">
        <f>D36/$D$36</f>
        <v>1</v>
      </c>
    </row>
    <row r="56" spans="1:4" ht="13.2" x14ac:dyDescent="0.25">
      <c r="A56" s="72" t="s">
        <v>20</v>
      </c>
      <c r="B56" s="92">
        <f>B37/$D$56</f>
        <v>3.9447731755424065E-3</v>
      </c>
      <c r="C56" s="92">
        <f>C37/$D$56</f>
        <v>0.99605522682445757</v>
      </c>
      <c r="D56" s="90">
        <v>1521</v>
      </c>
    </row>
  </sheetData>
  <mergeCells count="2">
    <mergeCell ref="B20:D20"/>
    <mergeCell ref="B39:D39"/>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106"/>
  <sheetViews>
    <sheetView topLeftCell="E37" zoomScale="80" zoomScaleNormal="80" workbookViewId="0">
      <selection activeCell="K88" sqref="K88"/>
    </sheetView>
  </sheetViews>
  <sheetFormatPr defaultColWidth="11.5546875" defaultRowHeight="12.75" customHeight="1" x14ac:dyDescent="0.25"/>
  <cols>
    <col min="18" max="18" width="17.109375" style="41" customWidth="1"/>
  </cols>
  <sheetData>
    <row r="1" spans="1:23" ht="34.200000000000003" x14ac:dyDescent="0.25">
      <c r="A1" s="72" t="s">
        <v>2</v>
      </c>
      <c r="B1" s="8" t="s">
        <v>122</v>
      </c>
      <c r="C1" s="8"/>
      <c r="D1" s="8"/>
      <c r="E1" s="8"/>
      <c r="F1" s="8"/>
      <c r="G1" s="8"/>
      <c r="H1" s="8"/>
      <c r="I1" s="8"/>
      <c r="J1" s="8"/>
      <c r="K1" s="73"/>
      <c r="M1" s="74" t="s">
        <v>123</v>
      </c>
      <c r="N1" s="8" t="s">
        <v>124</v>
      </c>
      <c r="O1" s="8"/>
      <c r="P1" s="8"/>
      <c r="Q1" s="8"/>
      <c r="R1" s="8"/>
      <c r="S1" s="8"/>
      <c r="T1" s="8"/>
      <c r="U1" s="8"/>
      <c r="V1" s="8"/>
      <c r="W1" s="8"/>
    </row>
    <row r="2" spans="1:23" ht="34.200000000000003" x14ac:dyDescent="0.25">
      <c r="A2" s="74" t="s">
        <v>3</v>
      </c>
      <c r="B2" s="75" t="s">
        <v>22</v>
      </c>
      <c r="C2" s="75" t="s">
        <v>27</v>
      </c>
      <c r="D2" s="75" t="s">
        <v>28</v>
      </c>
      <c r="E2" s="75" t="s">
        <v>108</v>
      </c>
      <c r="F2" s="75" t="s">
        <v>30</v>
      </c>
      <c r="G2" s="76" t="s">
        <v>106</v>
      </c>
      <c r="H2" s="75" t="s">
        <v>31</v>
      </c>
      <c r="I2" s="75" t="s">
        <v>33</v>
      </c>
      <c r="J2" s="77" t="s">
        <v>34</v>
      </c>
      <c r="K2" s="31" t="s">
        <v>26</v>
      </c>
      <c r="M2" s="74" t="s">
        <v>125</v>
      </c>
      <c r="N2" s="75" t="s">
        <v>126</v>
      </c>
      <c r="O2" s="75" t="s">
        <v>127</v>
      </c>
      <c r="P2" s="75" t="s">
        <v>128</v>
      </c>
      <c r="Q2" s="75" t="s">
        <v>129</v>
      </c>
      <c r="R2" s="75" t="s">
        <v>130</v>
      </c>
      <c r="S2" s="76" t="s">
        <v>131</v>
      </c>
      <c r="T2" s="75" t="s">
        <v>132</v>
      </c>
      <c r="U2" s="75" t="s">
        <v>133</v>
      </c>
      <c r="V2" s="77" t="s">
        <v>134</v>
      </c>
      <c r="W2" s="31" t="s">
        <v>135</v>
      </c>
    </row>
    <row r="3" spans="1:23" ht="13.2" x14ac:dyDescent="0.25">
      <c r="A3" s="74" t="s">
        <v>4</v>
      </c>
      <c r="B3" s="32"/>
      <c r="C3" s="32"/>
      <c r="D3" s="32"/>
      <c r="E3" s="32"/>
      <c r="F3" s="32"/>
      <c r="G3" s="32"/>
      <c r="H3" s="32"/>
      <c r="I3" s="32"/>
      <c r="J3" s="32"/>
      <c r="K3" s="32"/>
      <c r="M3" s="74" t="s">
        <v>136</v>
      </c>
      <c r="N3" s="32"/>
      <c r="O3" s="32"/>
      <c r="P3" s="32"/>
      <c r="Q3" s="32"/>
      <c r="R3" s="32"/>
      <c r="S3" s="32"/>
      <c r="T3" s="32"/>
      <c r="U3" s="32"/>
      <c r="V3" s="32"/>
      <c r="W3" s="32"/>
    </row>
    <row r="4" spans="1:23" ht="13.2" x14ac:dyDescent="0.25">
      <c r="A4" s="74" t="s">
        <v>5</v>
      </c>
      <c r="B4" s="78">
        <v>222</v>
      </c>
      <c r="C4" s="78">
        <v>28</v>
      </c>
      <c r="D4" s="78">
        <v>2</v>
      </c>
      <c r="E4" s="78"/>
      <c r="F4" s="79">
        <v>1279</v>
      </c>
      <c r="G4" s="79"/>
      <c r="H4" s="79"/>
      <c r="I4" s="79"/>
      <c r="J4" s="78"/>
      <c r="K4" s="78">
        <f t="shared" ref="K4:K18" si="0">SUM(B4:J4)</f>
        <v>1531</v>
      </c>
      <c r="M4" s="74" t="s">
        <v>137</v>
      </c>
      <c r="N4" s="80">
        <f t="shared" ref="N4:W4" si="1">B4/$K$4</f>
        <v>0.14500326583932072</v>
      </c>
      <c r="O4" s="80">
        <f t="shared" si="1"/>
        <v>1.8288700195950358E-2</v>
      </c>
      <c r="P4" s="80">
        <f t="shared" si="1"/>
        <v>1.3063357282821686E-3</v>
      </c>
      <c r="Q4" s="80">
        <f t="shared" si="1"/>
        <v>0</v>
      </c>
      <c r="R4" s="80">
        <f t="shared" si="1"/>
        <v>0.83540169823644672</v>
      </c>
      <c r="S4" s="80">
        <f t="shared" si="1"/>
        <v>0</v>
      </c>
      <c r="T4" s="80">
        <f t="shared" si="1"/>
        <v>0</v>
      </c>
      <c r="U4" s="80">
        <f t="shared" si="1"/>
        <v>0</v>
      </c>
      <c r="V4" s="80">
        <f t="shared" si="1"/>
        <v>0</v>
      </c>
      <c r="W4" s="80">
        <f t="shared" si="1"/>
        <v>1</v>
      </c>
    </row>
    <row r="5" spans="1:23" ht="13.2" x14ac:dyDescent="0.25">
      <c r="A5" s="74" t="s">
        <v>6</v>
      </c>
      <c r="B5" s="36">
        <v>72</v>
      </c>
      <c r="C5" s="36">
        <v>5</v>
      </c>
      <c r="D5" s="35"/>
      <c r="E5" s="36"/>
      <c r="F5" s="35">
        <v>531</v>
      </c>
      <c r="G5" s="35"/>
      <c r="H5" s="35"/>
      <c r="I5" s="35"/>
      <c r="J5" s="35"/>
      <c r="K5" s="78">
        <f t="shared" si="0"/>
        <v>608</v>
      </c>
      <c r="M5" s="74" t="s">
        <v>138</v>
      </c>
      <c r="N5" s="80">
        <f t="shared" ref="N5:W5" si="2">B5/$K$5</f>
        <v>0.11842105263157894</v>
      </c>
      <c r="O5" s="80">
        <f t="shared" si="2"/>
        <v>8.2236842105263153E-3</v>
      </c>
      <c r="P5" s="80">
        <f t="shared" si="2"/>
        <v>0</v>
      </c>
      <c r="Q5" s="80">
        <f t="shared" si="2"/>
        <v>0</v>
      </c>
      <c r="R5" s="80">
        <f t="shared" si="2"/>
        <v>0.87335526315789469</v>
      </c>
      <c r="S5" s="80">
        <f t="shared" si="2"/>
        <v>0</v>
      </c>
      <c r="T5" s="80">
        <f t="shared" si="2"/>
        <v>0</v>
      </c>
      <c r="U5" s="80">
        <f t="shared" si="2"/>
        <v>0</v>
      </c>
      <c r="V5" s="80">
        <f t="shared" si="2"/>
        <v>0</v>
      </c>
      <c r="W5" s="80">
        <f t="shared" si="2"/>
        <v>1</v>
      </c>
    </row>
    <row r="6" spans="1:23" ht="13.2" x14ac:dyDescent="0.25">
      <c r="A6" s="74" t="s">
        <v>7</v>
      </c>
      <c r="B6" s="36">
        <v>197</v>
      </c>
      <c r="C6" s="36">
        <v>13</v>
      </c>
      <c r="D6" s="35"/>
      <c r="E6" s="36"/>
      <c r="F6" s="35">
        <v>1296</v>
      </c>
      <c r="G6" s="35"/>
      <c r="H6" s="35"/>
      <c r="I6" s="35"/>
      <c r="J6" s="35"/>
      <c r="K6" s="78">
        <f t="shared" si="0"/>
        <v>1506</v>
      </c>
      <c r="M6" s="74" t="s">
        <v>139</v>
      </c>
      <c r="N6" s="80">
        <f t="shared" ref="N6:W6" si="3">B6/$K$6</f>
        <v>0.13081009296148738</v>
      </c>
      <c r="O6" s="80">
        <f t="shared" si="3"/>
        <v>8.6321381142098266E-3</v>
      </c>
      <c r="P6" s="80">
        <f t="shared" si="3"/>
        <v>0</v>
      </c>
      <c r="Q6" s="80">
        <f t="shared" si="3"/>
        <v>0</v>
      </c>
      <c r="R6" s="80">
        <f t="shared" si="3"/>
        <v>0.8605577689243028</v>
      </c>
      <c r="S6" s="80">
        <f t="shared" si="3"/>
        <v>0</v>
      </c>
      <c r="T6" s="80">
        <f t="shared" si="3"/>
        <v>0</v>
      </c>
      <c r="U6" s="80">
        <f t="shared" si="3"/>
        <v>0</v>
      </c>
      <c r="V6" s="80">
        <f t="shared" si="3"/>
        <v>0</v>
      </c>
      <c r="W6" s="80">
        <f t="shared" si="3"/>
        <v>1</v>
      </c>
    </row>
    <row r="7" spans="1:23" ht="13.2" x14ac:dyDescent="0.25">
      <c r="A7" s="74" t="s">
        <v>8</v>
      </c>
      <c r="B7" s="36">
        <v>168</v>
      </c>
      <c r="C7" s="36">
        <v>7</v>
      </c>
      <c r="D7" s="35"/>
      <c r="E7" s="36"/>
      <c r="F7" s="35">
        <v>1992</v>
      </c>
      <c r="G7" s="35"/>
      <c r="H7" s="35"/>
      <c r="I7" s="35"/>
      <c r="J7" s="35"/>
      <c r="K7" s="78">
        <f t="shared" si="0"/>
        <v>2167</v>
      </c>
      <c r="M7" s="74" t="s">
        <v>140</v>
      </c>
      <c r="N7" s="80">
        <f t="shared" ref="N7:W7" si="4">B7/$K$7</f>
        <v>7.7526534379326259E-2</v>
      </c>
      <c r="O7" s="80">
        <f t="shared" si="4"/>
        <v>3.2302722658052608E-3</v>
      </c>
      <c r="P7" s="80">
        <f t="shared" si="4"/>
        <v>0</v>
      </c>
      <c r="Q7" s="80">
        <f t="shared" si="4"/>
        <v>0</v>
      </c>
      <c r="R7" s="80">
        <f t="shared" si="4"/>
        <v>0.91924319335486848</v>
      </c>
      <c r="S7" s="80">
        <f t="shared" si="4"/>
        <v>0</v>
      </c>
      <c r="T7" s="80">
        <f t="shared" si="4"/>
        <v>0</v>
      </c>
      <c r="U7" s="80">
        <f t="shared" si="4"/>
        <v>0</v>
      </c>
      <c r="V7" s="80">
        <f t="shared" si="4"/>
        <v>0</v>
      </c>
      <c r="W7" s="80">
        <f t="shared" si="4"/>
        <v>1</v>
      </c>
    </row>
    <row r="8" spans="1:23" ht="13.2" x14ac:dyDescent="0.25">
      <c r="A8" s="74" t="s">
        <v>9</v>
      </c>
      <c r="B8" s="36">
        <v>234</v>
      </c>
      <c r="C8" s="36">
        <v>114</v>
      </c>
      <c r="D8" s="35">
        <v>25</v>
      </c>
      <c r="E8" s="36"/>
      <c r="F8" s="35">
        <v>2180</v>
      </c>
      <c r="G8" s="35"/>
      <c r="H8" s="35"/>
      <c r="I8" s="36"/>
      <c r="J8" s="35">
        <v>2</v>
      </c>
      <c r="K8" s="78">
        <f t="shared" si="0"/>
        <v>2555</v>
      </c>
      <c r="M8" s="74" t="s">
        <v>141</v>
      </c>
      <c r="N8" s="80">
        <f t="shared" ref="N8:W8" si="5">B8/$K$8</f>
        <v>9.1585127201565558E-2</v>
      </c>
      <c r="O8" s="80">
        <f t="shared" si="5"/>
        <v>4.4618395303326813E-2</v>
      </c>
      <c r="P8" s="80">
        <f t="shared" si="5"/>
        <v>9.7847358121330719E-3</v>
      </c>
      <c r="Q8" s="80">
        <f t="shared" si="5"/>
        <v>0</v>
      </c>
      <c r="R8" s="80">
        <f t="shared" si="5"/>
        <v>0.85322896281800387</v>
      </c>
      <c r="S8" s="80">
        <f t="shared" si="5"/>
        <v>0</v>
      </c>
      <c r="T8" s="80">
        <f t="shared" si="5"/>
        <v>0</v>
      </c>
      <c r="U8" s="80">
        <f t="shared" si="5"/>
        <v>0</v>
      </c>
      <c r="V8" s="80">
        <f t="shared" si="5"/>
        <v>7.8277886497064581E-4</v>
      </c>
      <c r="W8" s="80">
        <f t="shared" si="5"/>
        <v>1</v>
      </c>
    </row>
    <row r="9" spans="1:23" ht="13.2" x14ac:dyDescent="0.25">
      <c r="A9" s="74" t="s">
        <v>10</v>
      </c>
      <c r="B9" s="36">
        <v>88</v>
      </c>
      <c r="C9" s="36">
        <v>21</v>
      </c>
      <c r="D9" s="35">
        <v>43</v>
      </c>
      <c r="E9" s="36"/>
      <c r="F9" s="35">
        <v>815</v>
      </c>
      <c r="G9" s="35"/>
      <c r="H9" s="35"/>
      <c r="I9" s="36"/>
      <c r="J9" s="35">
        <v>3</v>
      </c>
      <c r="K9" s="78">
        <f t="shared" si="0"/>
        <v>970</v>
      </c>
      <c r="M9" s="74" t="s">
        <v>142</v>
      </c>
      <c r="N9" s="80">
        <f t="shared" ref="N9:W9" si="6">B9/$K$9</f>
        <v>9.0721649484536079E-2</v>
      </c>
      <c r="O9" s="80">
        <f t="shared" si="6"/>
        <v>2.1649484536082474E-2</v>
      </c>
      <c r="P9" s="80">
        <f t="shared" si="6"/>
        <v>4.4329896907216497E-2</v>
      </c>
      <c r="Q9" s="80">
        <f t="shared" si="6"/>
        <v>0</v>
      </c>
      <c r="R9" s="80">
        <f t="shared" si="6"/>
        <v>0.84020618556701032</v>
      </c>
      <c r="S9" s="80">
        <f t="shared" si="6"/>
        <v>0</v>
      </c>
      <c r="T9" s="80">
        <f t="shared" si="6"/>
        <v>0</v>
      </c>
      <c r="U9" s="80">
        <f t="shared" si="6"/>
        <v>0</v>
      </c>
      <c r="V9" s="80">
        <f t="shared" si="6"/>
        <v>3.092783505154639E-3</v>
      </c>
      <c r="W9" s="80">
        <f t="shared" si="6"/>
        <v>1</v>
      </c>
    </row>
    <row r="10" spans="1:23" ht="13.2" x14ac:dyDescent="0.25">
      <c r="A10" s="74" t="s">
        <v>11</v>
      </c>
      <c r="B10" s="36">
        <v>24</v>
      </c>
      <c r="C10" s="36">
        <v>7</v>
      </c>
      <c r="D10" s="35">
        <v>1</v>
      </c>
      <c r="E10" s="36"/>
      <c r="F10" s="35">
        <v>1149</v>
      </c>
      <c r="G10" s="35">
        <v>1</v>
      </c>
      <c r="H10" s="35"/>
      <c r="I10" s="35"/>
      <c r="J10" s="35"/>
      <c r="K10" s="78">
        <f t="shared" si="0"/>
        <v>1182</v>
      </c>
      <c r="M10" s="74" t="s">
        <v>143</v>
      </c>
      <c r="N10" s="80">
        <f t="shared" ref="N10:W10" si="7">B10/$K$10</f>
        <v>2.030456852791878E-2</v>
      </c>
      <c r="O10" s="80">
        <f t="shared" si="7"/>
        <v>5.9221658206429781E-3</v>
      </c>
      <c r="P10" s="80">
        <f t="shared" si="7"/>
        <v>8.4602368866328254E-4</v>
      </c>
      <c r="Q10" s="80">
        <f t="shared" si="7"/>
        <v>0</v>
      </c>
      <c r="R10" s="80">
        <f t="shared" si="7"/>
        <v>0.97208121827411165</v>
      </c>
      <c r="S10" s="80">
        <f t="shared" si="7"/>
        <v>8.4602368866328254E-4</v>
      </c>
      <c r="T10" s="80">
        <f t="shared" si="7"/>
        <v>0</v>
      </c>
      <c r="U10" s="80">
        <f t="shared" si="7"/>
        <v>0</v>
      </c>
      <c r="V10" s="80">
        <f t="shared" si="7"/>
        <v>0</v>
      </c>
      <c r="W10" s="80">
        <f t="shared" si="7"/>
        <v>1</v>
      </c>
    </row>
    <row r="11" spans="1:23" ht="13.2" x14ac:dyDescent="0.25">
      <c r="A11" s="74" t="s">
        <v>12</v>
      </c>
      <c r="B11" s="36">
        <v>402</v>
      </c>
      <c r="C11" s="36">
        <v>104</v>
      </c>
      <c r="D11" s="35">
        <v>35</v>
      </c>
      <c r="E11" s="36"/>
      <c r="F11" s="36">
        <v>2767</v>
      </c>
      <c r="G11" s="36"/>
      <c r="H11" s="36">
        <v>64</v>
      </c>
      <c r="I11" s="36">
        <v>74</v>
      </c>
      <c r="J11" s="35">
        <v>20</v>
      </c>
      <c r="K11" s="78">
        <f t="shared" si="0"/>
        <v>3466</v>
      </c>
      <c r="M11" s="74" t="s">
        <v>144</v>
      </c>
      <c r="N11" s="80">
        <f t="shared" ref="N11:W11" si="8">B11/$K$11</f>
        <v>0.11598384304673975</v>
      </c>
      <c r="O11" s="80">
        <f t="shared" si="8"/>
        <v>3.0005770340450086E-2</v>
      </c>
      <c r="P11" s="80">
        <f t="shared" si="8"/>
        <v>1.0098095787651471E-2</v>
      </c>
      <c r="Q11" s="80">
        <f t="shared" si="8"/>
        <v>0</v>
      </c>
      <c r="R11" s="80">
        <f t="shared" si="8"/>
        <v>0.79832660126947486</v>
      </c>
      <c r="S11" s="80">
        <f t="shared" si="8"/>
        <v>0</v>
      </c>
      <c r="T11" s="80">
        <f t="shared" si="8"/>
        <v>1.8465089440276975E-2</v>
      </c>
      <c r="U11" s="80">
        <f t="shared" si="8"/>
        <v>2.1350259665320254E-2</v>
      </c>
      <c r="V11" s="80">
        <f t="shared" si="8"/>
        <v>5.7703404500865554E-3</v>
      </c>
      <c r="W11" s="80">
        <f t="shared" si="8"/>
        <v>1</v>
      </c>
    </row>
    <row r="12" spans="1:23" ht="13.2" x14ac:dyDescent="0.25">
      <c r="A12" s="74" t="s">
        <v>13</v>
      </c>
      <c r="B12" s="35"/>
      <c r="C12" s="35"/>
      <c r="D12" s="35"/>
      <c r="E12" s="36"/>
      <c r="F12" s="35">
        <v>2</v>
      </c>
      <c r="G12" s="35"/>
      <c r="H12" s="35"/>
      <c r="I12" s="35"/>
      <c r="J12" s="35"/>
      <c r="K12" s="78">
        <f t="shared" si="0"/>
        <v>2</v>
      </c>
      <c r="M12" s="74" t="s">
        <v>145</v>
      </c>
      <c r="N12" s="80">
        <f t="shared" ref="N12:W12" si="9">B12/$K$12</f>
        <v>0</v>
      </c>
      <c r="O12" s="80">
        <f t="shared" si="9"/>
        <v>0</v>
      </c>
      <c r="P12" s="80">
        <f t="shared" si="9"/>
        <v>0</v>
      </c>
      <c r="Q12" s="80">
        <f t="shared" si="9"/>
        <v>0</v>
      </c>
      <c r="R12" s="80">
        <f t="shared" si="9"/>
        <v>1</v>
      </c>
      <c r="S12" s="80">
        <f t="shared" si="9"/>
        <v>0</v>
      </c>
      <c r="T12" s="80">
        <f t="shared" si="9"/>
        <v>0</v>
      </c>
      <c r="U12" s="80">
        <f t="shared" si="9"/>
        <v>0</v>
      </c>
      <c r="V12" s="80">
        <f t="shared" si="9"/>
        <v>0</v>
      </c>
      <c r="W12" s="80">
        <f t="shared" si="9"/>
        <v>1</v>
      </c>
    </row>
    <row r="13" spans="1:23" ht="13.2" x14ac:dyDescent="0.25">
      <c r="A13" s="74" t="s">
        <v>14</v>
      </c>
      <c r="B13" s="36">
        <v>17</v>
      </c>
      <c r="C13" s="36">
        <v>9</v>
      </c>
      <c r="D13" s="35">
        <v>8</v>
      </c>
      <c r="E13" s="36"/>
      <c r="F13" s="35">
        <v>1135</v>
      </c>
      <c r="G13" s="35"/>
      <c r="H13" s="35"/>
      <c r="I13" s="36"/>
      <c r="J13" s="35">
        <v>1</v>
      </c>
      <c r="K13" s="78">
        <f t="shared" si="0"/>
        <v>1170</v>
      </c>
      <c r="M13" s="74" t="s">
        <v>146</v>
      </c>
      <c r="N13" s="80">
        <f t="shared" ref="N13:W13" si="10">B13/$K$13</f>
        <v>1.452991452991453E-2</v>
      </c>
      <c r="O13" s="80">
        <f t="shared" si="10"/>
        <v>7.6923076923076927E-3</v>
      </c>
      <c r="P13" s="80">
        <f t="shared" si="10"/>
        <v>6.8376068376068376E-3</v>
      </c>
      <c r="Q13" s="80">
        <f t="shared" si="10"/>
        <v>0</v>
      </c>
      <c r="R13" s="80">
        <f t="shared" si="10"/>
        <v>0.97008547008547008</v>
      </c>
      <c r="S13" s="80">
        <f t="shared" si="10"/>
        <v>0</v>
      </c>
      <c r="T13" s="80">
        <f t="shared" si="10"/>
        <v>0</v>
      </c>
      <c r="U13" s="80">
        <f t="shared" si="10"/>
        <v>0</v>
      </c>
      <c r="V13" s="80">
        <f t="shared" si="10"/>
        <v>8.547008547008547E-4</v>
      </c>
      <c r="W13" s="80">
        <f t="shared" si="10"/>
        <v>1</v>
      </c>
    </row>
    <row r="14" spans="1:23" ht="13.2" x14ac:dyDescent="0.25">
      <c r="A14" s="74" t="s">
        <v>15</v>
      </c>
      <c r="B14" s="35">
        <v>3</v>
      </c>
      <c r="C14" s="36">
        <v>3</v>
      </c>
      <c r="D14" s="35"/>
      <c r="E14" s="36"/>
      <c r="F14" s="35">
        <v>94</v>
      </c>
      <c r="G14" s="35"/>
      <c r="H14" s="35"/>
      <c r="I14" s="35"/>
      <c r="J14" s="35"/>
      <c r="K14" s="78">
        <f t="shared" si="0"/>
        <v>100</v>
      </c>
      <c r="M14" s="74" t="s">
        <v>147</v>
      </c>
      <c r="N14" s="80">
        <f t="shared" ref="N14:W14" si="11">B14/$K$14</f>
        <v>0.03</v>
      </c>
      <c r="O14" s="80">
        <f t="shared" si="11"/>
        <v>0.03</v>
      </c>
      <c r="P14" s="80">
        <f t="shared" si="11"/>
        <v>0</v>
      </c>
      <c r="Q14" s="80">
        <f t="shared" si="11"/>
        <v>0</v>
      </c>
      <c r="R14" s="80">
        <f t="shared" si="11"/>
        <v>0.94</v>
      </c>
      <c r="S14" s="80">
        <f t="shared" si="11"/>
        <v>0</v>
      </c>
      <c r="T14" s="80">
        <f t="shared" si="11"/>
        <v>0</v>
      </c>
      <c r="U14" s="80">
        <f t="shared" si="11"/>
        <v>0</v>
      </c>
      <c r="V14" s="80">
        <f t="shared" si="11"/>
        <v>0</v>
      </c>
      <c r="W14" s="80">
        <f t="shared" si="11"/>
        <v>1</v>
      </c>
    </row>
    <row r="15" spans="1:23" ht="13.2" x14ac:dyDescent="0.25">
      <c r="A15" s="74" t="s">
        <v>16</v>
      </c>
      <c r="B15" s="36">
        <v>5</v>
      </c>
      <c r="C15" s="36">
        <v>5</v>
      </c>
      <c r="D15" s="35">
        <v>6</v>
      </c>
      <c r="E15" s="36"/>
      <c r="F15" s="35">
        <v>206</v>
      </c>
      <c r="G15" s="35"/>
      <c r="H15" s="35"/>
      <c r="I15" s="36"/>
      <c r="J15" s="35">
        <v>12</v>
      </c>
      <c r="K15" s="78">
        <f t="shared" si="0"/>
        <v>234</v>
      </c>
      <c r="M15" s="74" t="s">
        <v>148</v>
      </c>
      <c r="N15" s="80">
        <f t="shared" ref="N15:W15" si="12">B15/$K$15</f>
        <v>2.1367521367521368E-2</v>
      </c>
      <c r="O15" s="80">
        <f t="shared" si="12"/>
        <v>2.1367521367521368E-2</v>
      </c>
      <c r="P15" s="80">
        <f t="shared" si="12"/>
        <v>2.564102564102564E-2</v>
      </c>
      <c r="Q15" s="80">
        <f t="shared" si="12"/>
        <v>0</v>
      </c>
      <c r="R15" s="80">
        <f t="shared" si="12"/>
        <v>0.88034188034188032</v>
      </c>
      <c r="S15" s="80">
        <f t="shared" si="12"/>
        <v>0</v>
      </c>
      <c r="T15" s="80">
        <f t="shared" si="12"/>
        <v>0</v>
      </c>
      <c r="U15" s="80">
        <f t="shared" si="12"/>
        <v>0</v>
      </c>
      <c r="V15" s="80">
        <f t="shared" si="12"/>
        <v>5.128205128205128E-2</v>
      </c>
      <c r="W15" s="80">
        <f t="shared" si="12"/>
        <v>1</v>
      </c>
    </row>
    <row r="16" spans="1:23" ht="13.2" x14ac:dyDescent="0.25">
      <c r="A16" s="74" t="s">
        <v>17</v>
      </c>
      <c r="B16" s="35"/>
      <c r="C16" s="35"/>
      <c r="D16" s="35"/>
      <c r="E16" s="36"/>
      <c r="F16" s="35">
        <v>197</v>
      </c>
      <c r="G16" s="35"/>
      <c r="H16" s="35"/>
      <c r="I16" s="35"/>
      <c r="J16" s="35"/>
      <c r="K16" s="78">
        <f t="shared" si="0"/>
        <v>197</v>
      </c>
      <c r="M16" s="74" t="s">
        <v>149</v>
      </c>
      <c r="N16" s="80">
        <f t="shared" ref="N16:W16" si="13">B16/$K$16</f>
        <v>0</v>
      </c>
      <c r="O16" s="80">
        <f t="shared" si="13"/>
        <v>0</v>
      </c>
      <c r="P16" s="80">
        <f t="shared" si="13"/>
        <v>0</v>
      </c>
      <c r="Q16" s="80">
        <f t="shared" si="13"/>
        <v>0</v>
      </c>
      <c r="R16" s="80">
        <f t="shared" si="13"/>
        <v>1</v>
      </c>
      <c r="S16" s="80">
        <f t="shared" si="13"/>
        <v>0</v>
      </c>
      <c r="T16" s="80">
        <f t="shared" si="13"/>
        <v>0</v>
      </c>
      <c r="U16" s="80">
        <f t="shared" si="13"/>
        <v>0</v>
      </c>
      <c r="V16" s="80">
        <f t="shared" si="13"/>
        <v>0</v>
      </c>
      <c r="W16" s="80">
        <f t="shared" si="13"/>
        <v>1</v>
      </c>
    </row>
    <row r="17" spans="1:25" ht="34.200000000000003" x14ac:dyDescent="0.25">
      <c r="A17" s="74" t="s">
        <v>18</v>
      </c>
      <c r="B17" s="36"/>
      <c r="C17" s="36"/>
      <c r="D17" s="35"/>
      <c r="E17" s="36">
        <v>31</v>
      </c>
      <c r="F17" s="35"/>
      <c r="G17" s="35"/>
      <c r="H17" s="35"/>
      <c r="I17" s="35"/>
      <c r="J17" s="35"/>
      <c r="K17" s="78">
        <f t="shared" si="0"/>
        <v>31</v>
      </c>
      <c r="M17" s="74" t="s">
        <v>150</v>
      </c>
      <c r="N17" s="80">
        <f t="shared" ref="N17:W17" si="14">B17/$K$17</f>
        <v>0</v>
      </c>
      <c r="O17" s="80">
        <f t="shared" si="14"/>
        <v>0</v>
      </c>
      <c r="P17" s="80">
        <f t="shared" si="14"/>
        <v>0</v>
      </c>
      <c r="Q17" s="80">
        <f t="shared" si="14"/>
        <v>1</v>
      </c>
      <c r="R17" s="80">
        <f t="shared" si="14"/>
        <v>0</v>
      </c>
      <c r="S17" s="80">
        <f t="shared" si="14"/>
        <v>0</v>
      </c>
      <c r="T17" s="80">
        <f t="shared" si="14"/>
        <v>0</v>
      </c>
      <c r="U17" s="80">
        <f t="shared" si="14"/>
        <v>0</v>
      </c>
      <c r="V17" s="80">
        <f t="shared" si="14"/>
        <v>0</v>
      </c>
      <c r="W17" s="80">
        <f t="shared" si="14"/>
        <v>1</v>
      </c>
    </row>
    <row r="18" spans="1:25" ht="22.8" x14ac:dyDescent="0.25">
      <c r="A18" s="74" t="s">
        <v>19</v>
      </c>
      <c r="B18" s="36">
        <v>1</v>
      </c>
      <c r="C18" s="36"/>
      <c r="D18" s="36"/>
      <c r="E18" s="36"/>
      <c r="F18" s="36">
        <v>4</v>
      </c>
      <c r="G18" s="36"/>
      <c r="H18" s="36"/>
      <c r="I18" s="36"/>
      <c r="J18" s="36"/>
      <c r="K18" s="78">
        <f t="shared" si="0"/>
        <v>5</v>
      </c>
      <c r="M18" s="74" t="s">
        <v>151</v>
      </c>
      <c r="N18" s="80">
        <f t="shared" ref="N18:W18" si="15">B18/$K$18</f>
        <v>0.2</v>
      </c>
      <c r="O18" s="80">
        <f t="shared" si="15"/>
        <v>0</v>
      </c>
      <c r="P18" s="80">
        <f t="shared" si="15"/>
        <v>0</v>
      </c>
      <c r="Q18" s="80">
        <f t="shared" si="15"/>
        <v>0</v>
      </c>
      <c r="R18" s="80">
        <f t="shared" si="15"/>
        <v>0.8</v>
      </c>
      <c r="S18" s="80">
        <f t="shared" si="15"/>
        <v>0</v>
      </c>
      <c r="T18" s="80">
        <f t="shared" si="15"/>
        <v>0</v>
      </c>
      <c r="U18" s="80">
        <f t="shared" si="15"/>
        <v>0</v>
      </c>
      <c r="V18" s="80">
        <f t="shared" si="15"/>
        <v>0</v>
      </c>
      <c r="W18" s="80">
        <f t="shared" si="15"/>
        <v>1</v>
      </c>
    </row>
    <row r="19" spans="1:25" ht="13.2" x14ac:dyDescent="0.25">
      <c r="A19" s="74" t="s">
        <v>20</v>
      </c>
      <c r="B19" s="37">
        <f t="shared" ref="B19:K19" si="16">SUM(B3:B18)</f>
        <v>1433</v>
      </c>
      <c r="C19" s="37">
        <f t="shared" si="16"/>
        <v>316</v>
      </c>
      <c r="D19" s="37">
        <f t="shared" si="16"/>
        <v>120</v>
      </c>
      <c r="E19" s="37">
        <f t="shared" si="16"/>
        <v>31</v>
      </c>
      <c r="F19" s="37">
        <f t="shared" si="16"/>
        <v>13647</v>
      </c>
      <c r="G19" s="37">
        <f t="shared" si="16"/>
        <v>1</v>
      </c>
      <c r="H19" s="37">
        <f t="shared" si="16"/>
        <v>64</v>
      </c>
      <c r="I19" s="37">
        <f t="shared" si="16"/>
        <v>74</v>
      </c>
      <c r="J19" s="37">
        <f t="shared" si="16"/>
        <v>38</v>
      </c>
      <c r="K19" s="37">
        <f t="shared" si="16"/>
        <v>15724</v>
      </c>
      <c r="M19" s="74" t="s">
        <v>152</v>
      </c>
      <c r="N19" s="80">
        <f t="shared" ref="N19:V19" si="17">B19/$K$19</f>
        <v>9.1134571355889094E-2</v>
      </c>
      <c r="O19" s="80">
        <f t="shared" si="17"/>
        <v>2.0096667514627322E-2</v>
      </c>
      <c r="P19" s="80">
        <f t="shared" si="17"/>
        <v>7.6316458916306281E-3</v>
      </c>
      <c r="Q19" s="80">
        <f t="shared" si="17"/>
        <v>1.9715085220045792E-3</v>
      </c>
      <c r="R19" s="80">
        <f t="shared" si="17"/>
        <v>0.86790892902569317</v>
      </c>
      <c r="S19" s="80">
        <f t="shared" si="17"/>
        <v>6.3597049096921903E-5</v>
      </c>
      <c r="T19" s="80">
        <f t="shared" si="17"/>
        <v>4.0702111422030018E-3</v>
      </c>
      <c r="U19" s="80">
        <f t="shared" si="17"/>
        <v>4.7061816331722206E-3</v>
      </c>
      <c r="V19" s="80">
        <f t="shared" si="17"/>
        <v>2.4166878656830325E-3</v>
      </c>
      <c r="W19" s="37">
        <v>15724</v>
      </c>
    </row>
    <row r="22" spans="1:25" ht="23.85" customHeight="1" x14ac:dyDescent="0.25">
      <c r="A22" s="72" t="s">
        <v>2</v>
      </c>
      <c r="B22" s="8" t="s">
        <v>107</v>
      </c>
      <c r="C22" s="8"/>
      <c r="D22" s="8"/>
      <c r="E22" s="8"/>
      <c r="F22" s="8"/>
      <c r="G22" s="8"/>
      <c r="H22" s="8"/>
      <c r="I22" s="8"/>
      <c r="J22" s="8"/>
      <c r="K22" s="73"/>
      <c r="M22" s="72" t="s">
        <v>2</v>
      </c>
      <c r="N22" s="7" t="s">
        <v>120</v>
      </c>
      <c r="O22" s="7"/>
      <c r="P22" s="7"/>
      <c r="R22" s="68" t="s">
        <v>2</v>
      </c>
      <c r="S22" s="93"/>
    </row>
    <row r="23" spans="1:25" ht="35.1" customHeight="1" x14ac:dyDescent="0.25">
      <c r="A23" s="74" t="s">
        <v>3</v>
      </c>
      <c r="B23" s="75" t="s">
        <v>22</v>
      </c>
      <c r="C23" s="75" t="s">
        <v>27</v>
      </c>
      <c r="D23" s="75" t="s">
        <v>28</v>
      </c>
      <c r="E23" s="75" t="s">
        <v>108</v>
      </c>
      <c r="F23" s="75" t="s">
        <v>30</v>
      </c>
      <c r="G23" s="76" t="s">
        <v>106</v>
      </c>
      <c r="H23" s="75" t="s">
        <v>31</v>
      </c>
      <c r="I23" s="75" t="s">
        <v>33</v>
      </c>
      <c r="J23" s="77" t="s">
        <v>34</v>
      </c>
      <c r="K23" s="31" t="s">
        <v>26</v>
      </c>
      <c r="M23" s="72" t="s">
        <v>3</v>
      </c>
      <c r="N23" s="77" t="s">
        <v>22</v>
      </c>
      <c r="O23" s="77" t="s">
        <v>30</v>
      </c>
      <c r="P23" s="77" t="s">
        <v>26</v>
      </c>
      <c r="R23" s="72" t="s">
        <v>42</v>
      </c>
      <c r="S23" s="7" t="s">
        <v>43</v>
      </c>
      <c r="T23" s="7"/>
      <c r="U23" s="7"/>
      <c r="V23" s="7"/>
      <c r="W23" s="7"/>
      <c r="X23" s="7"/>
      <c r="Y23" s="7"/>
    </row>
    <row r="24" spans="1:25" ht="13.2" x14ac:dyDescent="0.25">
      <c r="A24" s="74" t="s">
        <v>4</v>
      </c>
      <c r="B24" s="32"/>
      <c r="C24" s="32"/>
      <c r="D24" s="32"/>
      <c r="E24" s="32"/>
      <c r="F24" s="32"/>
      <c r="G24" s="32"/>
      <c r="H24" s="32"/>
      <c r="I24" s="32"/>
      <c r="J24" s="32"/>
      <c r="K24" s="32"/>
      <c r="M24" s="72" t="s">
        <v>4</v>
      </c>
      <c r="N24" s="86"/>
      <c r="O24" s="86"/>
      <c r="P24" s="87"/>
      <c r="R24" s="72"/>
      <c r="S24" s="86" t="s">
        <v>153</v>
      </c>
      <c r="T24" s="6" t="s">
        <v>154</v>
      </c>
      <c r="U24" s="6"/>
      <c r="V24" s="6"/>
      <c r="W24" s="6"/>
      <c r="X24" s="6"/>
      <c r="Y24" s="73" t="s">
        <v>155</v>
      </c>
    </row>
    <row r="25" spans="1:25" ht="13.2" x14ac:dyDescent="0.25">
      <c r="A25" s="74" t="s">
        <v>5</v>
      </c>
      <c r="B25" s="78">
        <v>218</v>
      </c>
      <c r="C25" s="78">
        <v>28</v>
      </c>
      <c r="D25" s="78">
        <v>2</v>
      </c>
      <c r="E25" s="78"/>
      <c r="F25" s="79">
        <v>874</v>
      </c>
      <c r="G25" s="79"/>
      <c r="H25" s="79"/>
      <c r="I25" s="79"/>
      <c r="J25" s="78"/>
      <c r="K25" s="78">
        <v>1122</v>
      </c>
      <c r="M25" s="72" t="s">
        <v>5</v>
      </c>
      <c r="N25" s="88">
        <v>4</v>
      </c>
      <c r="O25" s="89">
        <v>405</v>
      </c>
      <c r="P25" s="88">
        <v>409</v>
      </c>
      <c r="R25" s="72"/>
      <c r="S25" s="86"/>
      <c r="T25" s="73" t="s">
        <v>156</v>
      </c>
      <c r="U25" s="73" t="s">
        <v>86</v>
      </c>
      <c r="V25" s="73" t="s">
        <v>157</v>
      </c>
      <c r="W25" s="73" t="s">
        <v>158</v>
      </c>
      <c r="X25" s="73" t="s">
        <v>159</v>
      </c>
      <c r="Y25" s="73" t="s">
        <v>158</v>
      </c>
    </row>
    <row r="26" spans="1:25" ht="13.2" x14ac:dyDescent="0.25">
      <c r="A26" s="74" t="s">
        <v>6</v>
      </c>
      <c r="B26" s="36">
        <v>72</v>
      </c>
      <c r="C26" s="36">
        <v>5</v>
      </c>
      <c r="D26" s="35"/>
      <c r="E26" s="36"/>
      <c r="F26" s="35">
        <v>471</v>
      </c>
      <c r="G26" s="35"/>
      <c r="H26" s="35"/>
      <c r="I26" s="35"/>
      <c r="J26" s="35"/>
      <c r="K26" s="35">
        <v>548</v>
      </c>
      <c r="M26" s="72" t="s">
        <v>6</v>
      </c>
      <c r="N26" s="88"/>
      <c r="O26" s="89">
        <v>60</v>
      </c>
      <c r="P26" s="88">
        <v>60</v>
      </c>
      <c r="R26" s="72" t="s">
        <v>5</v>
      </c>
      <c r="S26" s="88">
        <v>149</v>
      </c>
      <c r="T26" s="94">
        <f t="shared" ref="T26:T40" si="18">((B25+H25)/$K$19)*$S$41</f>
        <v>16.49834647672348</v>
      </c>
      <c r="U26" s="94">
        <f t="shared" ref="U26:U40" si="19">(C25/$K$19)*$S$41</f>
        <v>2.1190536759094378</v>
      </c>
      <c r="V26" s="94">
        <f t="shared" ref="V26:V40" si="20">((D25+J25)/$K$19)*$S$41</f>
        <v>0.15136097685067412</v>
      </c>
      <c r="W26" s="94">
        <f>((F25+G25+I25+F39)/$K$19)*$S$41</f>
        <v>66.296107860595271</v>
      </c>
      <c r="X26" s="94">
        <f t="shared" ref="X26:X40" si="21">(E25/$K$19)*$S$41</f>
        <v>0</v>
      </c>
      <c r="Y26" s="94">
        <f t="shared" ref="Y26:Y40" si="22">(O25/$K$19)*$S$41</f>
        <v>30.650597812261509</v>
      </c>
    </row>
    <row r="27" spans="1:25" ht="13.2" x14ac:dyDescent="0.25">
      <c r="A27" s="74" t="s">
        <v>7</v>
      </c>
      <c r="B27" s="36">
        <v>197</v>
      </c>
      <c r="C27" s="36">
        <v>13</v>
      </c>
      <c r="D27" s="35"/>
      <c r="E27" s="36"/>
      <c r="F27" s="35">
        <v>1132</v>
      </c>
      <c r="G27" s="35"/>
      <c r="H27" s="35"/>
      <c r="I27" s="35"/>
      <c r="J27" s="35"/>
      <c r="K27" s="35">
        <v>1342</v>
      </c>
      <c r="M27" s="72" t="s">
        <v>7</v>
      </c>
      <c r="N27" s="88"/>
      <c r="O27" s="89">
        <v>164</v>
      </c>
      <c r="P27" s="88">
        <v>164</v>
      </c>
      <c r="R27" s="72" t="s">
        <v>6</v>
      </c>
      <c r="S27" s="88">
        <v>47</v>
      </c>
      <c r="T27" s="94">
        <f t="shared" si="18"/>
        <v>5.4489951666242691</v>
      </c>
      <c r="U27" s="94">
        <f t="shared" si="19"/>
        <v>0.37840244212668533</v>
      </c>
      <c r="V27" s="94">
        <f t="shared" si="20"/>
        <v>0</v>
      </c>
      <c r="W27" s="94">
        <f t="shared" ref="W27:W40" si="23">((F26+G26+I26)/$K$19)*$S$41</f>
        <v>35.645510048333755</v>
      </c>
      <c r="X27" s="94">
        <f t="shared" si="21"/>
        <v>0</v>
      </c>
      <c r="Y27" s="94">
        <f t="shared" si="22"/>
        <v>4.5408293055202238</v>
      </c>
    </row>
    <row r="28" spans="1:25" ht="13.2" x14ac:dyDescent="0.25">
      <c r="A28" s="74" t="s">
        <v>8</v>
      </c>
      <c r="B28" s="36">
        <v>168</v>
      </c>
      <c r="C28" s="36">
        <v>7</v>
      </c>
      <c r="D28" s="35"/>
      <c r="E28" s="36"/>
      <c r="F28" s="35">
        <v>1784</v>
      </c>
      <c r="G28" s="35"/>
      <c r="H28" s="35"/>
      <c r="I28" s="35"/>
      <c r="J28" s="35"/>
      <c r="K28" s="35">
        <v>1959</v>
      </c>
      <c r="M28" s="72" t="s">
        <v>8</v>
      </c>
      <c r="N28" s="88"/>
      <c r="O28" s="88">
        <v>208</v>
      </c>
      <c r="P28" s="88">
        <v>208</v>
      </c>
      <c r="R28" s="72" t="s">
        <v>7</v>
      </c>
      <c r="S28" s="88">
        <v>99</v>
      </c>
      <c r="T28" s="94">
        <f t="shared" si="18"/>
        <v>14.909056219791402</v>
      </c>
      <c r="U28" s="94">
        <f t="shared" si="19"/>
        <v>0.98384634952938188</v>
      </c>
      <c r="V28" s="94">
        <f t="shared" si="20"/>
        <v>0</v>
      </c>
      <c r="W28" s="94">
        <f t="shared" si="23"/>
        <v>85.670312897481551</v>
      </c>
      <c r="X28" s="94">
        <f t="shared" si="21"/>
        <v>0</v>
      </c>
      <c r="Y28" s="94">
        <f t="shared" si="22"/>
        <v>12.411600101755278</v>
      </c>
    </row>
    <row r="29" spans="1:25" ht="13.2" x14ac:dyDescent="0.25">
      <c r="A29" s="74" t="s">
        <v>9</v>
      </c>
      <c r="B29" s="36">
        <v>234</v>
      </c>
      <c r="C29" s="36">
        <v>114</v>
      </c>
      <c r="D29" s="35">
        <v>25</v>
      </c>
      <c r="E29" s="36"/>
      <c r="F29" s="36">
        <v>2108</v>
      </c>
      <c r="G29" s="35"/>
      <c r="H29" s="35"/>
      <c r="I29" s="36"/>
      <c r="J29" s="35">
        <v>2</v>
      </c>
      <c r="K29" s="35">
        <v>2483</v>
      </c>
      <c r="M29" s="72" t="s">
        <v>9</v>
      </c>
      <c r="N29" s="88"/>
      <c r="O29" s="88">
        <v>72</v>
      </c>
      <c r="P29" s="88">
        <v>72</v>
      </c>
      <c r="R29" s="72" t="s">
        <v>8</v>
      </c>
      <c r="S29" s="88">
        <v>131</v>
      </c>
      <c r="T29" s="94">
        <f t="shared" si="18"/>
        <v>12.714322055456625</v>
      </c>
      <c r="U29" s="94">
        <f t="shared" si="19"/>
        <v>0.52976341897735946</v>
      </c>
      <c r="V29" s="94">
        <f t="shared" si="20"/>
        <v>0</v>
      </c>
      <c r="W29" s="94">
        <f t="shared" si="23"/>
        <v>135.01399135080132</v>
      </c>
      <c r="X29" s="94">
        <f t="shared" si="21"/>
        <v>0</v>
      </c>
      <c r="Y29" s="94">
        <f t="shared" si="22"/>
        <v>15.74154159247011</v>
      </c>
    </row>
    <row r="30" spans="1:25" ht="13.2" x14ac:dyDescent="0.25">
      <c r="A30" s="74" t="s">
        <v>10</v>
      </c>
      <c r="B30" s="36">
        <v>88</v>
      </c>
      <c r="C30" s="36">
        <v>21</v>
      </c>
      <c r="D30" s="35">
        <v>43</v>
      </c>
      <c r="E30" s="36"/>
      <c r="F30" s="35">
        <v>622</v>
      </c>
      <c r="G30" s="35"/>
      <c r="H30" s="35"/>
      <c r="I30" s="36"/>
      <c r="J30" s="35">
        <v>3</v>
      </c>
      <c r="K30" s="35">
        <v>777</v>
      </c>
      <c r="M30" s="72" t="s">
        <v>10</v>
      </c>
      <c r="N30" s="88"/>
      <c r="O30" s="88">
        <v>193</v>
      </c>
      <c r="P30" s="88">
        <v>193</v>
      </c>
      <c r="R30" s="72" t="s">
        <v>9</v>
      </c>
      <c r="S30" s="88">
        <v>196</v>
      </c>
      <c r="T30" s="94">
        <f t="shared" si="18"/>
        <v>17.709234291528873</v>
      </c>
      <c r="U30" s="94">
        <f t="shared" si="19"/>
        <v>8.6275756804884249</v>
      </c>
      <c r="V30" s="94">
        <f t="shared" si="20"/>
        <v>2.043373187484101</v>
      </c>
      <c r="W30" s="94">
        <f t="shared" si="23"/>
        <v>159.53446960061052</v>
      </c>
      <c r="X30" s="94">
        <f t="shared" si="21"/>
        <v>0</v>
      </c>
      <c r="Y30" s="94">
        <f t="shared" si="22"/>
        <v>5.4489951666242691</v>
      </c>
    </row>
    <row r="31" spans="1:25" ht="13.2" x14ac:dyDescent="0.25">
      <c r="A31" s="74" t="s">
        <v>11</v>
      </c>
      <c r="B31" s="36">
        <v>24</v>
      </c>
      <c r="C31" s="36">
        <v>7</v>
      </c>
      <c r="D31" s="35">
        <v>1</v>
      </c>
      <c r="E31" s="36"/>
      <c r="F31" s="35">
        <v>1138</v>
      </c>
      <c r="G31" s="35">
        <v>1</v>
      </c>
      <c r="H31" s="35"/>
      <c r="I31" s="35"/>
      <c r="J31" s="35"/>
      <c r="K31" s="35">
        <v>1171</v>
      </c>
      <c r="M31" s="72" t="s">
        <v>11</v>
      </c>
      <c r="N31" s="89"/>
      <c r="O31" s="89">
        <v>11</v>
      </c>
      <c r="P31" s="88">
        <v>11</v>
      </c>
      <c r="R31" s="72" t="s">
        <v>10</v>
      </c>
      <c r="S31" s="88">
        <v>64</v>
      </c>
      <c r="T31" s="94">
        <f t="shared" si="18"/>
        <v>6.6598829814296616</v>
      </c>
      <c r="U31" s="94">
        <f t="shared" si="19"/>
        <v>1.5892902569320781</v>
      </c>
      <c r="V31" s="94">
        <f t="shared" si="20"/>
        <v>3.4813024675655049</v>
      </c>
      <c r="W31" s="94">
        <f t="shared" si="23"/>
        <v>47.073263800559651</v>
      </c>
      <c r="X31" s="94">
        <f t="shared" si="21"/>
        <v>0</v>
      </c>
      <c r="Y31" s="94">
        <f t="shared" si="22"/>
        <v>14.606334266090053</v>
      </c>
    </row>
    <row r="32" spans="1:25" ht="13.2" x14ac:dyDescent="0.25">
      <c r="A32" s="74" t="s">
        <v>12</v>
      </c>
      <c r="B32" s="36">
        <v>402</v>
      </c>
      <c r="C32" s="36">
        <v>104</v>
      </c>
      <c r="D32" s="35">
        <v>35</v>
      </c>
      <c r="E32" s="36"/>
      <c r="F32" s="35">
        <v>2554</v>
      </c>
      <c r="G32" s="36"/>
      <c r="H32" s="36">
        <v>64</v>
      </c>
      <c r="I32" s="36">
        <v>74</v>
      </c>
      <c r="J32" s="35">
        <v>20</v>
      </c>
      <c r="K32" s="35">
        <v>3253</v>
      </c>
      <c r="M32" s="72" t="s">
        <v>12</v>
      </c>
      <c r="N32" s="88"/>
      <c r="O32" s="88">
        <v>213</v>
      </c>
      <c r="P32" s="88">
        <v>213</v>
      </c>
      <c r="R32" s="72" t="s">
        <v>11</v>
      </c>
      <c r="S32" s="88">
        <v>97</v>
      </c>
      <c r="T32" s="94">
        <f t="shared" si="18"/>
        <v>1.8163317222080895</v>
      </c>
      <c r="U32" s="94">
        <f t="shared" si="19"/>
        <v>0.52976341897735946</v>
      </c>
      <c r="V32" s="94">
        <f t="shared" si="20"/>
        <v>7.5680488425337061E-2</v>
      </c>
      <c r="W32" s="94">
        <f t="shared" si="23"/>
        <v>86.200076316458919</v>
      </c>
      <c r="X32" s="94">
        <f t="shared" si="21"/>
        <v>0</v>
      </c>
      <c r="Y32" s="94">
        <f t="shared" si="22"/>
        <v>0.8324853726787077</v>
      </c>
    </row>
    <row r="33" spans="1:252" ht="13.2" x14ac:dyDescent="0.25">
      <c r="A33" s="74" t="s">
        <v>13</v>
      </c>
      <c r="B33" s="35"/>
      <c r="C33" s="35"/>
      <c r="D33" s="35"/>
      <c r="E33" s="36"/>
      <c r="F33" s="35">
        <v>2</v>
      </c>
      <c r="G33" s="35"/>
      <c r="H33" s="35"/>
      <c r="I33" s="35"/>
      <c r="J33" s="35"/>
      <c r="K33" s="35">
        <v>2</v>
      </c>
      <c r="M33" s="72" t="s">
        <v>13</v>
      </c>
      <c r="N33" s="89"/>
      <c r="O33" s="89"/>
      <c r="P33" s="89"/>
      <c r="R33" s="72" t="s">
        <v>12</v>
      </c>
      <c r="S33" s="88">
        <v>260</v>
      </c>
      <c r="T33" s="94">
        <f t="shared" si="18"/>
        <v>35.26710760620707</v>
      </c>
      <c r="U33" s="94">
        <f t="shared" si="19"/>
        <v>7.870770796235055</v>
      </c>
      <c r="V33" s="94">
        <f t="shared" si="20"/>
        <v>4.1624268633935388</v>
      </c>
      <c r="W33" s="94">
        <f t="shared" si="23"/>
        <v>198.88832358178578</v>
      </c>
      <c r="X33" s="94">
        <f t="shared" si="21"/>
        <v>0</v>
      </c>
      <c r="Y33" s="94">
        <f t="shared" si="22"/>
        <v>16.119944034596795</v>
      </c>
    </row>
    <row r="34" spans="1:252" ht="13.2" x14ac:dyDescent="0.25">
      <c r="A34" s="74" t="s">
        <v>14</v>
      </c>
      <c r="B34" s="36">
        <v>15</v>
      </c>
      <c r="C34" s="36">
        <v>9</v>
      </c>
      <c r="D34" s="35">
        <v>8</v>
      </c>
      <c r="E34" s="36"/>
      <c r="F34" s="35">
        <v>1126</v>
      </c>
      <c r="G34" s="35"/>
      <c r="H34" s="35"/>
      <c r="I34" s="36"/>
      <c r="J34" s="35">
        <v>1</v>
      </c>
      <c r="K34" s="35">
        <v>1159</v>
      </c>
      <c r="M34" s="72" t="s">
        <v>14</v>
      </c>
      <c r="N34" s="88">
        <v>2</v>
      </c>
      <c r="O34" s="89">
        <v>9</v>
      </c>
      <c r="P34" s="88">
        <v>11</v>
      </c>
      <c r="R34" s="72" t="s">
        <v>13</v>
      </c>
      <c r="S34" s="89"/>
      <c r="T34" s="94">
        <f t="shared" si="18"/>
        <v>0</v>
      </c>
      <c r="U34" s="94">
        <f t="shared" si="19"/>
        <v>0</v>
      </c>
      <c r="V34" s="94">
        <f t="shared" si="20"/>
        <v>0</v>
      </c>
      <c r="W34" s="94">
        <f t="shared" si="23"/>
        <v>0.15136097685067412</v>
      </c>
      <c r="X34" s="94">
        <f t="shared" si="21"/>
        <v>0</v>
      </c>
      <c r="Y34" s="94">
        <f t="shared" si="22"/>
        <v>0</v>
      </c>
    </row>
    <row r="35" spans="1:252" ht="13.2" x14ac:dyDescent="0.25">
      <c r="A35" s="74" t="s">
        <v>15</v>
      </c>
      <c r="B35" s="35">
        <v>3</v>
      </c>
      <c r="C35" s="36">
        <v>3</v>
      </c>
      <c r="D35" s="35"/>
      <c r="E35" s="36"/>
      <c r="F35" s="35">
        <v>76</v>
      </c>
      <c r="G35" s="35"/>
      <c r="H35" s="35"/>
      <c r="I35" s="35"/>
      <c r="J35" s="35"/>
      <c r="K35" s="35">
        <v>82</v>
      </c>
      <c r="M35" s="72" t="s">
        <v>15</v>
      </c>
      <c r="N35" s="88"/>
      <c r="O35" s="89">
        <v>18</v>
      </c>
      <c r="P35" s="88">
        <v>18</v>
      </c>
      <c r="R35" s="72" t="s">
        <v>14</v>
      </c>
      <c r="S35" s="88">
        <v>107</v>
      </c>
      <c r="T35" s="94">
        <f t="shared" si="18"/>
        <v>1.1352073263800559</v>
      </c>
      <c r="U35" s="94">
        <f t="shared" si="19"/>
        <v>0.68112439582803364</v>
      </c>
      <c r="V35" s="94">
        <f t="shared" si="20"/>
        <v>0.68112439582803364</v>
      </c>
      <c r="W35" s="94">
        <f t="shared" si="23"/>
        <v>85.216229966929532</v>
      </c>
      <c r="X35" s="94">
        <f t="shared" si="21"/>
        <v>0</v>
      </c>
      <c r="Y35" s="94">
        <f t="shared" si="22"/>
        <v>0.68112439582803364</v>
      </c>
    </row>
    <row r="36" spans="1:252" ht="13.2" x14ac:dyDescent="0.25">
      <c r="A36" s="74" t="s">
        <v>16</v>
      </c>
      <c r="B36" s="36">
        <v>5</v>
      </c>
      <c r="C36" s="36">
        <v>5</v>
      </c>
      <c r="D36" s="35">
        <v>6</v>
      </c>
      <c r="E36" s="36"/>
      <c r="F36" s="35">
        <v>147</v>
      </c>
      <c r="G36" s="35"/>
      <c r="H36" s="35"/>
      <c r="I36" s="36"/>
      <c r="J36" s="35">
        <v>12</v>
      </c>
      <c r="K36" s="35">
        <v>175</v>
      </c>
      <c r="M36" s="72" t="s">
        <v>16</v>
      </c>
      <c r="N36" s="88"/>
      <c r="O36" s="88">
        <v>59</v>
      </c>
      <c r="P36" s="88">
        <v>59</v>
      </c>
      <c r="R36" s="72" t="s">
        <v>15</v>
      </c>
      <c r="S36" s="88">
        <v>8</v>
      </c>
      <c r="T36" s="94">
        <f t="shared" si="18"/>
        <v>0.22704146527601118</v>
      </c>
      <c r="U36" s="94">
        <f t="shared" si="19"/>
        <v>0.22704146527601118</v>
      </c>
      <c r="V36" s="94">
        <f t="shared" si="20"/>
        <v>0</v>
      </c>
      <c r="W36" s="94">
        <f t="shared" si="23"/>
        <v>5.7517171203256172</v>
      </c>
      <c r="X36" s="94">
        <f t="shared" si="21"/>
        <v>0</v>
      </c>
      <c r="Y36" s="94">
        <f t="shared" si="22"/>
        <v>1.3622487916560673</v>
      </c>
    </row>
    <row r="37" spans="1:252" ht="13.2" x14ac:dyDescent="0.25">
      <c r="A37" s="74" t="s">
        <v>17</v>
      </c>
      <c r="B37" s="35"/>
      <c r="C37" s="35"/>
      <c r="D37" s="35"/>
      <c r="E37" s="36"/>
      <c r="F37" s="35">
        <v>96</v>
      </c>
      <c r="G37" s="35"/>
      <c r="H37" s="35"/>
      <c r="I37" s="35"/>
      <c r="J37" s="35"/>
      <c r="K37" s="35">
        <v>96</v>
      </c>
      <c r="M37" s="72" t="s">
        <v>17</v>
      </c>
      <c r="N37" s="88"/>
      <c r="O37" s="88">
        <v>101</v>
      </c>
      <c r="P37" s="88">
        <v>101</v>
      </c>
      <c r="R37" s="72" t="s">
        <v>16</v>
      </c>
      <c r="S37" s="88">
        <v>18</v>
      </c>
      <c r="T37" s="94">
        <f t="shared" si="18"/>
        <v>0.37840244212668533</v>
      </c>
      <c r="U37" s="94">
        <f t="shared" si="19"/>
        <v>0.37840244212668533</v>
      </c>
      <c r="V37" s="94">
        <f t="shared" si="20"/>
        <v>1.3622487916560673</v>
      </c>
      <c r="W37" s="94">
        <f t="shared" si="23"/>
        <v>11.125031798524549</v>
      </c>
      <c r="X37" s="94">
        <f t="shared" si="21"/>
        <v>0</v>
      </c>
      <c r="Y37" s="94">
        <f t="shared" si="22"/>
        <v>4.465148817094887</v>
      </c>
    </row>
    <row r="38" spans="1:252" ht="34.200000000000003" x14ac:dyDescent="0.25">
      <c r="A38" s="74" t="s">
        <v>18</v>
      </c>
      <c r="B38" s="36"/>
      <c r="C38" s="36"/>
      <c r="D38" s="35"/>
      <c r="E38" s="36">
        <v>31</v>
      </c>
      <c r="F38" s="35"/>
      <c r="G38" s="35"/>
      <c r="H38" s="35"/>
      <c r="I38" s="35"/>
      <c r="J38" s="35"/>
      <c r="K38" s="35">
        <v>31</v>
      </c>
      <c r="M38" s="72"/>
      <c r="N38" s="88"/>
      <c r="O38" s="88"/>
      <c r="P38" s="88"/>
      <c r="R38" s="72" t="s">
        <v>17</v>
      </c>
      <c r="S38" s="88">
        <v>11</v>
      </c>
      <c r="T38" s="94">
        <f t="shared" si="18"/>
        <v>0</v>
      </c>
      <c r="U38" s="94">
        <f t="shared" si="19"/>
        <v>0</v>
      </c>
      <c r="V38" s="94">
        <f t="shared" si="20"/>
        <v>0</v>
      </c>
      <c r="W38" s="94">
        <f t="shared" si="23"/>
        <v>7.2653268888323579</v>
      </c>
      <c r="X38" s="94">
        <f t="shared" si="21"/>
        <v>0</v>
      </c>
      <c r="Y38" s="94">
        <f t="shared" si="22"/>
        <v>7.6437293309590437</v>
      </c>
    </row>
    <row r="39" spans="1:252" ht="22.8" x14ac:dyDescent="0.25">
      <c r="A39" s="74" t="s">
        <v>19</v>
      </c>
      <c r="B39" s="36">
        <v>1</v>
      </c>
      <c r="C39" s="36"/>
      <c r="D39" s="36"/>
      <c r="E39" s="36"/>
      <c r="F39" s="36">
        <v>2</v>
      </c>
      <c r="G39" s="36"/>
      <c r="H39" s="36"/>
      <c r="I39" s="36"/>
      <c r="J39" s="36"/>
      <c r="K39" s="36">
        <v>3</v>
      </c>
      <c r="M39" s="72" t="s">
        <v>19</v>
      </c>
      <c r="N39" s="89"/>
      <c r="O39" s="89">
        <v>2</v>
      </c>
      <c r="P39" s="88">
        <v>2</v>
      </c>
      <c r="R39" s="72" t="s">
        <v>18</v>
      </c>
      <c r="S39" s="88">
        <v>2</v>
      </c>
      <c r="T39" s="94">
        <f t="shared" si="18"/>
        <v>0</v>
      </c>
      <c r="U39" s="94">
        <f t="shared" si="19"/>
        <v>0</v>
      </c>
      <c r="V39" s="94">
        <f t="shared" si="20"/>
        <v>0</v>
      </c>
      <c r="W39" s="94">
        <f t="shared" si="23"/>
        <v>0</v>
      </c>
      <c r="X39" s="94">
        <f t="shared" si="21"/>
        <v>2.3460951411854492</v>
      </c>
      <c r="Y39" s="94">
        <f t="shared" si="22"/>
        <v>0</v>
      </c>
    </row>
    <row r="40" spans="1:252" ht="13.2" x14ac:dyDescent="0.25">
      <c r="A40" s="74" t="s">
        <v>20</v>
      </c>
      <c r="B40" s="37">
        <f>SUM(B24:B39)</f>
        <v>1427</v>
      </c>
      <c r="C40" s="37">
        <v>316</v>
      </c>
      <c r="D40" s="37">
        <v>120</v>
      </c>
      <c r="E40" s="37">
        <v>31</v>
      </c>
      <c r="F40" s="37">
        <v>12132</v>
      </c>
      <c r="G40" s="37">
        <v>1</v>
      </c>
      <c r="H40" s="37">
        <v>64</v>
      </c>
      <c r="I40" s="37">
        <v>74</v>
      </c>
      <c r="J40" s="37">
        <v>38</v>
      </c>
      <c r="K40" s="37">
        <v>14203</v>
      </c>
      <c r="M40" s="72" t="s">
        <v>20</v>
      </c>
      <c r="N40" s="90">
        <v>6</v>
      </c>
      <c r="O40" s="91">
        <v>1515</v>
      </c>
      <c r="P40" s="90">
        <v>1521</v>
      </c>
      <c r="R40" s="72" t="s">
        <v>19</v>
      </c>
      <c r="S40" s="88">
        <v>1</v>
      </c>
      <c r="T40" s="94">
        <f t="shared" si="18"/>
        <v>7.5680488425337061E-2</v>
      </c>
      <c r="U40" s="94">
        <f t="shared" si="19"/>
        <v>0</v>
      </c>
      <c r="V40" s="94">
        <f t="shared" si="20"/>
        <v>0</v>
      </c>
      <c r="W40" s="94">
        <f t="shared" si="23"/>
        <v>0.15136097685067412</v>
      </c>
      <c r="X40" s="94">
        <f t="shared" si="21"/>
        <v>0</v>
      </c>
      <c r="Y40" s="94">
        <f t="shared" si="22"/>
        <v>0.15136097685067412</v>
      </c>
    </row>
    <row r="41" spans="1:252" ht="13.2" x14ac:dyDescent="0.25">
      <c r="R41" s="72" t="s">
        <v>20</v>
      </c>
      <c r="S41" s="90">
        <v>1190</v>
      </c>
      <c r="T41" s="94">
        <f t="shared" ref="T41:Y41" si="24">SUM(T26:T40)</f>
        <v>112.83960824217756</v>
      </c>
      <c r="U41" s="94">
        <f t="shared" si="24"/>
        <v>23.915034342406511</v>
      </c>
      <c r="V41" s="94">
        <f t="shared" si="24"/>
        <v>11.957517171203257</v>
      </c>
      <c r="W41" s="94">
        <f t="shared" si="24"/>
        <v>923.98308318494014</v>
      </c>
      <c r="X41" s="94">
        <f t="shared" si="24"/>
        <v>2.3460951411854492</v>
      </c>
      <c r="Y41" s="94">
        <f t="shared" si="24"/>
        <v>114.65593996438567</v>
      </c>
    </row>
    <row r="46" spans="1:252" ht="33" customHeight="1" x14ac:dyDescent="0.25">
      <c r="A46" s="9" t="s">
        <v>44</v>
      </c>
      <c r="B46" s="9" t="s">
        <v>45</v>
      </c>
      <c r="C46" s="9" t="s">
        <v>46</v>
      </c>
      <c r="D46" s="9" t="s">
        <v>47</v>
      </c>
      <c r="E46" s="48" t="s">
        <v>48</v>
      </c>
      <c r="F46" s="49" t="s">
        <v>49</v>
      </c>
      <c r="G46" s="50" t="s">
        <v>50</v>
      </c>
      <c r="H46" s="49" t="s">
        <v>51</v>
      </c>
      <c r="I46" s="50" t="s">
        <v>52</v>
      </c>
      <c r="J46" s="49" t="s">
        <v>53</v>
      </c>
      <c r="K46" s="50" t="s">
        <v>54</v>
      </c>
      <c r="L46" s="49" t="s">
        <v>55</v>
      </c>
      <c r="M46" s="50" t="s">
        <v>56</v>
      </c>
      <c r="N46" s="49" t="s">
        <v>57</v>
      </c>
      <c r="O46" s="50" t="s">
        <v>58</v>
      </c>
      <c r="P46" s="95"/>
      <c r="Q46" s="95"/>
      <c r="R46" s="9" t="s">
        <v>44</v>
      </c>
      <c r="S46" s="9" t="s">
        <v>45</v>
      </c>
      <c r="T46" s="9" t="s">
        <v>46</v>
      </c>
      <c r="U46" s="9" t="s">
        <v>47</v>
      </c>
      <c r="V46" s="48" t="s">
        <v>48</v>
      </c>
      <c r="W46" s="49" t="s">
        <v>49</v>
      </c>
      <c r="X46" s="50" t="s">
        <v>50</v>
      </c>
      <c r="Y46" s="49" t="s">
        <v>51</v>
      </c>
      <c r="Z46" s="50" t="s">
        <v>52</v>
      </c>
      <c r="AA46" s="49" t="s">
        <v>53</v>
      </c>
      <c r="AB46" s="50" t="s">
        <v>54</v>
      </c>
      <c r="AC46" s="49" t="s">
        <v>55</v>
      </c>
      <c r="AD46" s="50" t="s">
        <v>56</v>
      </c>
      <c r="AE46" s="49" t="s">
        <v>57</v>
      </c>
      <c r="AF46" s="50" t="s">
        <v>58</v>
      </c>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c r="BE46" s="95"/>
      <c r="BF46" s="95"/>
      <c r="BG46" s="95"/>
      <c r="BH46" s="95"/>
      <c r="BI46" s="95"/>
      <c r="BJ46" s="95"/>
      <c r="BK46" s="95"/>
      <c r="BL46" s="95"/>
      <c r="BM46" s="95"/>
      <c r="BN46" s="95"/>
      <c r="BO46" s="95"/>
      <c r="BP46" s="95"/>
      <c r="BQ46" s="95"/>
      <c r="BR46" s="95"/>
      <c r="BS46" s="95"/>
      <c r="BT46" s="95"/>
      <c r="BU46" s="95"/>
      <c r="BV46" s="95"/>
      <c r="BW46" s="95"/>
      <c r="BX46" s="95"/>
      <c r="BY46" s="95"/>
      <c r="BZ46" s="95"/>
      <c r="CA46" s="95"/>
      <c r="CB46" s="95"/>
      <c r="CC46" s="95"/>
      <c r="CD46" s="95"/>
      <c r="CE46" s="95"/>
      <c r="CF46" s="95"/>
      <c r="CG46" s="95"/>
      <c r="CH46" s="95"/>
      <c r="CI46" s="95"/>
      <c r="CJ46" s="95"/>
      <c r="CK46" s="95"/>
      <c r="CL46" s="95"/>
      <c r="CM46" s="95"/>
      <c r="CN46" s="95"/>
      <c r="CO46" s="95"/>
      <c r="CP46" s="95"/>
      <c r="CQ46" s="95"/>
      <c r="CR46" s="95"/>
      <c r="CS46" s="95"/>
      <c r="CT46" s="95"/>
      <c r="CU46" s="95"/>
      <c r="CV46" s="95"/>
      <c r="CW46" s="95"/>
      <c r="CX46" s="95"/>
      <c r="CY46" s="95"/>
      <c r="CZ46" s="95"/>
      <c r="DA46" s="95"/>
      <c r="DB46" s="95"/>
      <c r="DC46" s="95"/>
      <c r="DD46" s="95"/>
      <c r="DE46" s="95"/>
      <c r="DF46" s="95"/>
      <c r="DG46" s="95"/>
      <c r="DH46" s="95"/>
      <c r="DI46" s="95"/>
      <c r="DJ46" s="95"/>
      <c r="DK46" s="95"/>
      <c r="DL46" s="95"/>
      <c r="DM46" s="95"/>
      <c r="DN46" s="95"/>
      <c r="DO46" s="95"/>
      <c r="DP46" s="95"/>
      <c r="DQ46" s="95"/>
      <c r="DR46" s="95"/>
      <c r="DS46" s="95"/>
      <c r="DT46" s="95"/>
      <c r="DU46" s="95"/>
      <c r="DV46" s="95"/>
      <c r="DW46" s="95"/>
      <c r="DX46" s="95"/>
      <c r="DY46" s="95"/>
      <c r="DZ46" s="95"/>
      <c r="EA46" s="95"/>
      <c r="EB46" s="95"/>
      <c r="EC46" s="95"/>
      <c r="ED46" s="95"/>
      <c r="EE46" s="95"/>
      <c r="EF46" s="95"/>
      <c r="EG46" s="95"/>
      <c r="EH46" s="95"/>
      <c r="EI46" s="95"/>
      <c r="EJ46" s="95"/>
      <c r="EK46" s="95"/>
      <c r="EL46" s="95"/>
      <c r="EM46" s="95"/>
      <c r="EN46" s="95"/>
      <c r="EO46" s="95"/>
      <c r="EP46" s="95"/>
      <c r="EQ46" s="95"/>
      <c r="ER46" s="95"/>
      <c r="ES46" s="95"/>
      <c r="ET46" s="95"/>
      <c r="EU46" s="95"/>
      <c r="EV46" s="95"/>
      <c r="EW46" s="95"/>
      <c r="EX46" s="95"/>
      <c r="EY46" s="95"/>
      <c r="EZ46" s="95"/>
      <c r="FA46" s="95"/>
      <c r="FB46" s="95"/>
      <c r="FC46" s="95"/>
      <c r="FD46" s="95"/>
      <c r="FE46" s="95"/>
      <c r="FF46" s="95"/>
      <c r="FG46" s="95"/>
      <c r="FH46" s="95"/>
      <c r="FI46" s="95"/>
      <c r="FJ46" s="95"/>
      <c r="FK46" s="95"/>
      <c r="FL46" s="95"/>
      <c r="FM46" s="95"/>
      <c r="FN46" s="95"/>
      <c r="FO46" s="95"/>
      <c r="FP46" s="95"/>
      <c r="FQ46" s="95"/>
      <c r="FR46" s="95"/>
      <c r="FS46" s="95"/>
      <c r="FT46" s="95"/>
      <c r="FU46" s="95"/>
      <c r="FV46" s="95"/>
      <c r="FW46" s="95"/>
      <c r="FX46" s="95"/>
      <c r="FY46" s="95"/>
      <c r="FZ46" s="95"/>
      <c r="GA46" s="95"/>
      <c r="GB46" s="95"/>
      <c r="GC46" s="95"/>
      <c r="GD46" s="95"/>
      <c r="GE46" s="95"/>
      <c r="GF46" s="95"/>
      <c r="GG46" s="95"/>
      <c r="GH46" s="95"/>
      <c r="GI46" s="95"/>
      <c r="GJ46" s="95"/>
      <c r="GK46" s="95"/>
      <c r="GL46" s="95"/>
      <c r="GM46" s="95"/>
      <c r="GN46" s="95"/>
      <c r="GO46" s="95"/>
      <c r="GP46" s="95"/>
      <c r="GQ46" s="95"/>
      <c r="GR46" s="95"/>
      <c r="GS46" s="95"/>
      <c r="GT46" s="95"/>
      <c r="GU46" s="95"/>
      <c r="GV46" s="95"/>
      <c r="GW46" s="95"/>
      <c r="GX46" s="95"/>
      <c r="GY46" s="95"/>
      <c r="GZ46" s="95"/>
      <c r="HA46" s="95"/>
      <c r="HB46" s="95"/>
      <c r="HC46" s="95"/>
      <c r="HD46" s="95"/>
      <c r="HE46" s="95"/>
      <c r="HF46" s="95"/>
      <c r="HG46" s="95"/>
      <c r="HH46" s="95"/>
      <c r="HI46" s="95"/>
      <c r="HJ46" s="95"/>
      <c r="HK46" s="95"/>
      <c r="HL46" s="95"/>
      <c r="HM46" s="95"/>
      <c r="HN46" s="95"/>
      <c r="HO46" s="95"/>
      <c r="HP46" s="95"/>
      <c r="HQ46" s="95"/>
      <c r="HR46" s="95"/>
      <c r="HS46" s="95"/>
      <c r="HT46" s="95"/>
      <c r="HU46" s="95"/>
      <c r="HV46" s="95"/>
      <c r="HW46" s="95"/>
      <c r="HX46" s="95"/>
      <c r="HY46" s="95"/>
      <c r="HZ46" s="95"/>
      <c r="IA46" s="95"/>
      <c r="IB46" s="95"/>
      <c r="IC46" s="95"/>
      <c r="ID46" s="95"/>
      <c r="IE46" s="95"/>
      <c r="IF46" s="95"/>
      <c r="IG46" s="95"/>
      <c r="IH46" s="95"/>
      <c r="II46" s="95"/>
      <c r="IJ46" s="95"/>
      <c r="IK46" s="95"/>
      <c r="IL46" s="95"/>
      <c r="IM46" s="95"/>
      <c r="IN46" s="95"/>
      <c r="IO46" s="95"/>
      <c r="IP46" s="95"/>
      <c r="IQ46" s="95"/>
      <c r="IR46" s="95"/>
    </row>
    <row r="47" spans="1:252" ht="15.6" x14ac:dyDescent="0.3">
      <c r="A47" s="9"/>
      <c r="B47" s="9"/>
      <c r="C47" s="9"/>
      <c r="D47" s="9"/>
      <c r="E47" s="47" t="s">
        <v>59</v>
      </c>
      <c r="F47" s="51" t="s">
        <v>60</v>
      </c>
      <c r="G47" s="52" t="s">
        <v>60</v>
      </c>
      <c r="H47" s="51" t="s">
        <v>60</v>
      </c>
      <c r="I47" s="52" t="s">
        <v>60</v>
      </c>
      <c r="J47" s="51" t="s">
        <v>60</v>
      </c>
      <c r="K47" s="52" t="s">
        <v>60</v>
      </c>
      <c r="L47" s="51" t="s">
        <v>59</v>
      </c>
      <c r="M47" s="52" t="s">
        <v>59</v>
      </c>
      <c r="N47" s="51" t="s">
        <v>60</v>
      </c>
      <c r="O47" s="52" t="s">
        <v>60</v>
      </c>
      <c r="P47" s="95"/>
      <c r="Q47" s="95"/>
      <c r="R47" s="9"/>
      <c r="S47" s="9"/>
      <c r="T47" s="9"/>
      <c r="U47" s="9"/>
      <c r="V47" s="47" t="s">
        <v>59</v>
      </c>
      <c r="W47" s="51" t="s">
        <v>60</v>
      </c>
      <c r="X47" s="52" t="s">
        <v>60</v>
      </c>
      <c r="Y47" s="51" t="s">
        <v>60</v>
      </c>
      <c r="Z47" s="52" t="s">
        <v>60</v>
      </c>
      <c r="AA47" s="51" t="s">
        <v>60</v>
      </c>
      <c r="AB47" s="52" t="s">
        <v>60</v>
      </c>
      <c r="AC47" s="51" t="s">
        <v>59</v>
      </c>
      <c r="AD47" s="52" t="s">
        <v>59</v>
      </c>
      <c r="AE47" s="51" t="s">
        <v>60</v>
      </c>
      <c r="AF47" s="52" t="s">
        <v>60</v>
      </c>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5"/>
      <c r="BR47" s="95"/>
      <c r="BS47" s="95"/>
      <c r="BT47" s="95"/>
      <c r="BU47" s="95"/>
      <c r="BV47" s="95"/>
      <c r="BW47" s="95"/>
      <c r="BX47" s="95"/>
      <c r="BY47" s="95"/>
      <c r="BZ47" s="95"/>
      <c r="CA47" s="95"/>
      <c r="CB47" s="95"/>
      <c r="CC47" s="95"/>
      <c r="CD47" s="95"/>
      <c r="CE47" s="95"/>
      <c r="CF47" s="95"/>
      <c r="CG47" s="95"/>
      <c r="CH47" s="95"/>
      <c r="CI47" s="95"/>
      <c r="CJ47" s="95"/>
      <c r="CK47" s="95"/>
      <c r="CL47" s="95"/>
      <c r="CM47" s="95"/>
      <c r="CN47" s="95"/>
      <c r="CO47" s="95"/>
      <c r="CP47" s="95"/>
      <c r="CQ47" s="95"/>
      <c r="CR47" s="95"/>
      <c r="CS47" s="95"/>
      <c r="CT47" s="95"/>
      <c r="CU47" s="95"/>
      <c r="CV47" s="95"/>
      <c r="CW47" s="95"/>
      <c r="CX47" s="95"/>
      <c r="CY47" s="95"/>
      <c r="CZ47" s="95"/>
      <c r="DA47" s="95"/>
      <c r="DB47" s="95"/>
      <c r="DC47" s="95"/>
      <c r="DD47" s="95"/>
      <c r="DE47" s="95"/>
      <c r="DF47" s="95"/>
      <c r="DG47" s="95"/>
      <c r="DH47" s="95"/>
      <c r="DI47" s="95"/>
      <c r="DJ47" s="95"/>
      <c r="DK47" s="95"/>
      <c r="DL47" s="95"/>
      <c r="DM47" s="95"/>
      <c r="DN47" s="95"/>
      <c r="DO47" s="95"/>
      <c r="DP47" s="95"/>
      <c r="DQ47" s="95"/>
      <c r="DR47" s="95"/>
      <c r="DS47" s="95"/>
      <c r="DT47" s="95"/>
      <c r="DU47" s="95"/>
      <c r="DV47" s="95"/>
      <c r="DW47" s="95"/>
      <c r="DX47" s="95"/>
      <c r="DY47" s="95"/>
      <c r="DZ47" s="95"/>
      <c r="EA47" s="95"/>
      <c r="EB47" s="95"/>
      <c r="EC47" s="95"/>
      <c r="ED47" s="95"/>
      <c r="EE47" s="95"/>
      <c r="EF47" s="95"/>
      <c r="EG47" s="95"/>
      <c r="EH47" s="95"/>
      <c r="EI47" s="95"/>
      <c r="EJ47" s="95"/>
      <c r="EK47" s="95"/>
      <c r="EL47" s="95"/>
      <c r="EM47" s="95"/>
      <c r="EN47" s="95"/>
      <c r="EO47" s="95"/>
      <c r="EP47" s="95"/>
      <c r="EQ47" s="95"/>
      <c r="ER47" s="95"/>
      <c r="ES47" s="95"/>
      <c r="ET47" s="95"/>
      <c r="EU47" s="95"/>
      <c r="EV47" s="95"/>
      <c r="EW47" s="95"/>
      <c r="EX47" s="95"/>
      <c r="EY47" s="95"/>
      <c r="EZ47" s="95"/>
      <c r="FA47" s="95"/>
      <c r="FB47" s="95"/>
      <c r="FC47" s="95"/>
      <c r="FD47" s="95"/>
      <c r="FE47" s="95"/>
      <c r="FF47" s="95"/>
      <c r="FG47" s="95"/>
      <c r="FH47" s="95"/>
      <c r="FI47" s="95"/>
      <c r="FJ47" s="95"/>
      <c r="FK47" s="95"/>
      <c r="FL47" s="95"/>
      <c r="FM47" s="95"/>
      <c r="FN47" s="95"/>
      <c r="FO47" s="95"/>
      <c r="FP47" s="95"/>
      <c r="FQ47" s="95"/>
      <c r="FR47" s="95"/>
      <c r="FS47" s="95"/>
      <c r="FT47" s="95"/>
      <c r="FU47" s="95"/>
      <c r="FV47" s="95"/>
      <c r="FW47" s="95"/>
      <c r="FX47" s="95"/>
      <c r="FY47" s="95"/>
      <c r="FZ47" s="95"/>
      <c r="GA47" s="95"/>
      <c r="GB47" s="95"/>
      <c r="GC47" s="95"/>
      <c r="GD47" s="95"/>
      <c r="GE47" s="95"/>
      <c r="GF47" s="95"/>
      <c r="GG47" s="95"/>
      <c r="GH47" s="95"/>
      <c r="GI47" s="95"/>
      <c r="GJ47" s="95"/>
      <c r="GK47" s="95"/>
      <c r="GL47" s="95"/>
      <c r="GM47" s="95"/>
      <c r="GN47" s="95"/>
      <c r="GO47" s="95"/>
      <c r="GP47" s="95"/>
      <c r="GQ47" s="95"/>
      <c r="GR47" s="95"/>
      <c r="GS47" s="95"/>
      <c r="GT47" s="95"/>
      <c r="GU47" s="95"/>
      <c r="GV47" s="95"/>
      <c r="GW47" s="95"/>
      <c r="GX47" s="95"/>
      <c r="GY47" s="95"/>
      <c r="GZ47" s="95"/>
      <c r="HA47" s="95"/>
      <c r="HB47" s="95"/>
      <c r="HC47" s="95"/>
      <c r="HD47" s="95"/>
      <c r="HE47" s="95"/>
      <c r="HF47" s="95"/>
      <c r="HG47" s="95"/>
      <c r="HH47" s="95"/>
      <c r="HI47" s="95"/>
      <c r="HJ47" s="95"/>
      <c r="HK47" s="95"/>
      <c r="HL47" s="95"/>
      <c r="HM47" s="95"/>
      <c r="HN47" s="95"/>
      <c r="HO47" s="95"/>
      <c r="HP47" s="95"/>
      <c r="HQ47" s="95"/>
      <c r="HR47" s="95"/>
      <c r="HS47" s="95"/>
      <c r="HT47" s="95"/>
      <c r="HU47" s="95"/>
      <c r="HV47" s="95"/>
      <c r="HW47" s="95"/>
      <c r="HX47" s="95"/>
      <c r="HY47" s="95"/>
      <c r="HZ47" s="95"/>
      <c r="IA47" s="95"/>
      <c r="IB47" s="95"/>
      <c r="IC47" s="95"/>
      <c r="ID47" s="95"/>
      <c r="IE47" s="95"/>
      <c r="IF47" s="95"/>
      <c r="IG47" s="95"/>
      <c r="IH47" s="95"/>
      <c r="II47" s="95"/>
      <c r="IJ47" s="95"/>
      <c r="IK47" s="95"/>
      <c r="IL47" s="95"/>
      <c r="IM47" s="95"/>
      <c r="IN47" s="95"/>
      <c r="IO47" s="95"/>
      <c r="IP47" s="95"/>
      <c r="IQ47" s="95"/>
      <c r="IR47" s="95"/>
    </row>
    <row r="48" spans="1:252" ht="15.6" x14ac:dyDescent="0.3">
      <c r="A48" s="96" t="s">
        <v>160</v>
      </c>
      <c r="B48" s="97" t="s">
        <v>62</v>
      </c>
      <c r="C48" s="97" t="s">
        <v>82</v>
      </c>
      <c r="D48" s="98" t="s">
        <v>161</v>
      </c>
      <c r="E48" s="99">
        <v>87.76</v>
      </c>
      <c r="F48" s="100">
        <v>2992.78</v>
      </c>
      <c r="G48" s="101">
        <f>($B$25*F48)/$K$19</f>
        <v>41.492370897990334</v>
      </c>
      <c r="H48" s="100">
        <v>43.93</v>
      </c>
      <c r="I48" s="101">
        <f>($B$25*H48)/$K$19</f>
        <v>0.60905240396845584</v>
      </c>
      <c r="J48" s="100">
        <v>108.83</v>
      </c>
      <c r="K48" s="101">
        <f>($B$25*J48)/$K$19</f>
        <v>1.5088361740015261</v>
      </c>
      <c r="L48" s="100">
        <v>277.89</v>
      </c>
      <c r="M48" s="101">
        <f>($B$25*L48)/$K$19</f>
        <v>3.8527105062325107</v>
      </c>
      <c r="N48" s="102">
        <v>7.62</v>
      </c>
      <c r="O48" s="101">
        <f>($B$25*N48)/$K$19</f>
        <v>0.10564487407784279</v>
      </c>
      <c r="P48" s="95"/>
      <c r="Q48" s="95"/>
      <c r="R48" s="96" t="s">
        <v>160</v>
      </c>
      <c r="S48" s="97" t="s">
        <v>62</v>
      </c>
      <c r="T48" s="97" t="s">
        <v>82</v>
      </c>
      <c r="U48" s="98" t="s">
        <v>161</v>
      </c>
      <c r="V48" s="99">
        <v>87.76</v>
      </c>
      <c r="W48" s="100">
        <v>2992.78</v>
      </c>
      <c r="X48" s="101">
        <f>($T$26*W48)/$S$41</f>
        <v>41.492370897990334</v>
      </c>
      <c r="Y48" s="100">
        <v>43.93</v>
      </c>
      <c r="Z48" s="101">
        <f>($T$26*Y48)/$S$41</f>
        <v>0.60905240396845584</v>
      </c>
      <c r="AA48" s="100">
        <v>108.83</v>
      </c>
      <c r="AB48" s="101">
        <f>($T$26*AA48)/$S$41</f>
        <v>1.5088361740015264</v>
      </c>
      <c r="AC48" s="100">
        <v>277.89</v>
      </c>
      <c r="AD48" s="101">
        <f>($T$26*AC48)/$S$41</f>
        <v>3.8527105062325111</v>
      </c>
      <c r="AE48" s="102">
        <v>7.62</v>
      </c>
      <c r="AF48" s="101">
        <f>($T$26*AE48)/$S$41</f>
        <v>0.10564487407784279</v>
      </c>
      <c r="AG48" s="95"/>
      <c r="AH48" s="95"/>
      <c r="AI48" s="95"/>
      <c r="AJ48" s="95"/>
      <c r="AK48" s="95"/>
      <c r="AL48" s="95"/>
      <c r="AM48" s="95"/>
      <c r="AN48" s="95"/>
      <c r="AO48" s="95"/>
      <c r="AP48" s="95"/>
      <c r="AQ48" s="95"/>
      <c r="AR48" s="95"/>
      <c r="AS48" s="95"/>
      <c r="AT48" s="95"/>
      <c r="AU48" s="95"/>
      <c r="AV48" s="95"/>
      <c r="AW48" s="95"/>
      <c r="AX48" s="95"/>
      <c r="AY48" s="95"/>
      <c r="AZ48" s="95"/>
      <c r="BA48" s="95"/>
      <c r="BB48" s="95"/>
      <c r="BC48" s="95"/>
      <c r="BD48" s="95"/>
      <c r="BE48" s="95"/>
      <c r="BF48" s="95"/>
      <c r="BG48" s="95"/>
      <c r="BH48" s="95"/>
      <c r="BI48" s="95"/>
      <c r="BJ48" s="95"/>
      <c r="BK48" s="95"/>
      <c r="BL48" s="95"/>
      <c r="BM48" s="95"/>
      <c r="BN48" s="95"/>
      <c r="BO48" s="95"/>
      <c r="BP48" s="95"/>
      <c r="BQ48" s="95"/>
      <c r="BR48" s="95"/>
      <c r="BS48" s="95"/>
      <c r="BT48" s="95"/>
      <c r="BU48" s="95"/>
      <c r="BV48" s="95"/>
      <c r="BW48" s="95"/>
      <c r="BX48" s="95"/>
      <c r="BY48" s="95"/>
      <c r="BZ48" s="95"/>
      <c r="CA48" s="95"/>
      <c r="CB48" s="95"/>
      <c r="CC48" s="95"/>
      <c r="CD48" s="95"/>
      <c r="CE48" s="95"/>
      <c r="CF48" s="95"/>
      <c r="CG48" s="95"/>
      <c r="CH48" s="95"/>
      <c r="CI48" s="95"/>
      <c r="CJ48" s="95"/>
      <c r="CK48" s="95"/>
      <c r="CL48" s="95"/>
      <c r="CM48" s="95"/>
      <c r="CN48" s="95"/>
      <c r="CO48" s="95"/>
      <c r="CP48" s="95"/>
      <c r="CQ48" s="95"/>
      <c r="CR48" s="95"/>
      <c r="CS48" s="95"/>
      <c r="CT48" s="95"/>
      <c r="CU48" s="95"/>
      <c r="CV48" s="95"/>
      <c r="CW48" s="95"/>
      <c r="CX48" s="95"/>
      <c r="CY48" s="95"/>
      <c r="CZ48" s="95"/>
      <c r="DA48" s="95"/>
      <c r="DB48" s="95"/>
      <c r="DC48" s="95"/>
      <c r="DD48" s="95"/>
      <c r="DE48" s="95"/>
      <c r="DF48" s="95"/>
      <c r="DG48" s="95"/>
      <c r="DH48" s="95"/>
      <c r="DI48" s="95"/>
      <c r="DJ48" s="95"/>
      <c r="DK48" s="95"/>
      <c r="DL48" s="95"/>
      <c r="DM48" s="95"/>
      <c r="DN48" s="95"/>
      <c r="DO48" s="95"/>
      <c r="DP48" s="95"/>
      <c r="DQ48" s="95"/>
      <c r="DR48" s="95"/>
      <c r="DS48" s="95"/>
      <c r="DT48" s="95"/>
      <c r="DU48" s="95"/>
      <c r="DV48" s="95"/>
      <c r="DW48" s="95"/>
      <c r="DX48" s="95"/>
      <c r="DY48" s="95"/>
      <c r="DZ48" s="95"/>
      <c r="EA48" s="95"/>
      <c r="EB48" s="95"/>
      <c r="EC48" s="95"/>
      <c r="ED48" s="95"/>
      <c r="EE48" s="95"/>
      <c r="EF48" s="95"/>
      <c r="EG48" s="95"/>
      <c r="EH48" s="95"/>
      <c r="EI48" s="95"/>
      <c r="EJ48" s="95"/>
      <c r="EK48" s="95"/>
      <c r="EL48" s="95"/>
      <c r="EM48" s="95"/>
      <c r="EN48" s="95"/>
      <c r="EO48" s="95"/>
      <c r="EP48" s="95"/>
      <c r="EQ48" s="95"/>
      <c r="ER48" s="95"/>
      <c r="ES48" s="95"/>
      <c r="ET48" s="95"/>
      <c r="EU48" s="95"/>
      <c r="EV48" s="95"/>
      <c r="EW48" s="95"/>
      <c r="EX48" s="95"/>
      <c r="EY48" s="95"/>
      <c r="EZ48" s="95"/>
      <c r="FA48" s="95"/>
      <c r="FB48" s="95"/>
      <c r="FC48" s="95"/>
      <c r="FD48" s="95"/>
      <c r="FE48" s="95"/>
      <c r="FF48" s="95"/>
      <c r="FG48" s="95"/>
      <c r="FH48" s="95"/>
      <c r="FI48" s="95"/>
      <c r="FJ48" s="95"/>
      <c r="FK48" s="95"/>
      <c r="FL48" s="95"/>
      <c r="FM48" s="95"/>
      <c r="FN48" s="95"/>
      <c r="FO48" s="95"/>
      <c r="FP48" s="95"/>
      <c r="FQ48" s="95"/>
      <c r="FR48" s="95"/>
      <c r="FS48" s="95"/>
      <c r="FT48" s="95"/>
      <c r="FU48" s="95"/>
      <c r="FV48" s="95"/>
      <c r="FW48" s="95"/>
      <c r="FX48" s="95"/>
      <c r="FY48" s="95"/>
      <c r="FZ48" s="95"/>
      <c r="GA48" s="95"/>
      <c r="GB48" s="95"/>
      <c r="GC48" s="95"/>
      <c r="GD48" s="95"/>
      <c r="GE48" s="95"/>
      <c r="GF48" s="95"/>
      <c r="GG48" s="95"/>
      <c r="GH48" s="95"/>
      <c r="GI48" s="95"/>
      <c r="GJ48" s="95"/>
      <c r="GK48" s="95"/>
      <c r="GL48" s="95"/>
      <c r="GM48" s="95"/>
      <c r="GN48" s="95"/>
      <c r="GO48" s="95"/>
      <c r="GP48" s="95"/>
      <c r="GQ48" s="95"/>
      <c r="GR48" s="95"/>
      <c r="GS48" s="95"/>
      <c r="GT48" s="95"/>
      <c r="GU48" s="95"/>
      <c r="GV48" s="95"/>
      <c r="GW48" s="95"/>
      <c r="GX48" s="95"/>
      <c r="GY48" s="95"/>
      <c r="GZ48" s="95"/>
      <c r="HA48" s="95"/>
      <c r="HB48" s="95"/>
      <c r="HC48" s="95"/>
      <c r="HD48" s="95"/>
      <c r="HE48" s="95"/>
      <c r="HF48" s="95"/>
      <c r="HG48" s="95"/>
      <c r="HH48" s="95"/>
      <c r="HI48" s="95"/>
      <c r="HJ48" s="95"/>
      <c r="HK48" s="95"/>
      <c r="HL48" s="95"/>
      <c r="HM48" s="95"/>
      <c r="HN48" s="95"/>
      <c r="HO48" s="95"/>
      <c r="HP48" s="95"/>
      <c r="HQ48" s="95"/>
      <c r="HR48" s="95"/>
      <c r="HS48" s="95"/>
      <c r="HT48" s="95"/>
      <c r="HU48" s="95"/>
      <c r="HV48" s="95"/>
      <c r="HW48" s="95"/>
      <c r="HX48" s="95"/>
      <c r="HY48" s="95"/>
      <c r="HZ48" s="95"/>
      <c r="IA48" s="95"/>
      <c r="IB48" s="95"/>
      <c r="IC48" s="95"/>
      <c r="ID48" s="95"/>
      <c r="IE48" s="95"/>
      <c r="IF48" s="95"/>
      <c r="IG48" s="95"/>
      <c r="IH48" s="95"/>
      <c r="II48" s="95"/>
      <c r="IJ48" s="95"/>
      <c r="IK48" s="95"/>
      <c r="IL48" s="95"/>
      <c r="IM48" s="95"/>
      <c r="IN48" s="95"/>
      <c r="IO48" s="95"/>
      <c r="IP48" s="95"/>
      <c r="IQ48" s="95"/>
      <c r="IR48" s="95"/>
    </row>
    <row r="49" spans="1:252" ht="15.6" x14ac:dyDescent="0.3">
      <c r="A49" s="103" t="s">
        <v>160</v>
      </c>
      <c r="B49" s="104" t="s">
        <v>62</v>
      </c>
      <c r="C49" s="104" t="s">
        <v>162</v>
      </c>
      <c r="D49" s="105" t="s">
        <v>163</v>
      </c>
      <c r="E49" s="99">
        <v>104.85</v>
      </c>
      <c r="F49" s="100">
        <v>1021.61</v>
      </c>
      <c r="G49" s="101">
        <f>($B$26*F49)/$K$19</f>
        <v>4.6779394556092599</v>
      </c>
      <c r="H49" s="100">
        <v>43.93</v>
      </c>
      <c r="I49" s="101">
        <f>($B$26*H49)/$K$19</f>
        <v>0.2011549224116001</v>
      </c>
      <c r="J49" s="100">
        <v>23.85</v>
      </c>
      <c r="K49" s="101">
        <f>($B$26*J49)/$K$19</f>
        <v>0.10920885270923429</v>
      </c>
      <c r="L49" s="100">
        <v>332</v>
      </c>
      <c r="M49" s="101">
        <f>($B$26*L49)/$K$19</f>
        <v>1.5202238616128212</v>
      </c>
      <c r="N49" s="100">
        <v>26.39</v>
      </c>
      <c r="O49" s="101">
        <f>($B$26*N49)/$K$19</f>
        <v>0.12083948104807936</v>
      </c>
      <c r="P49" s="95"/>
      <c r="Q49" s="95"/>
      <c r="R49" s="103" t="s">
        <v>160</v>
      </c>
      <c r="S49" s="104" t="s">
        <v>62</v>
      </c>
      <c r="T49" s="104" t="s">
        <v>162</v>
      </c>
      <c r="U49" s="105" t="s">
        <v>163</v>
      </c>
      <c r="V49" s="99">
        <v>104.85</v>
      </c>
      <c r="W49" s="100">
        <v>1021.61</v>
      </c>
      <c r="X49" s="101">
        <f>($T$27*W49)/$S$41</f>
        <v>4.6779394556092599</v>
      </c>
      <c r="Y49" s="100">
        <v>43.93</v>
      </c>
      <c r="Z49" s="101">
        <f>($T$27*Y49)/$S$41</f>
        <v>0.20115492241160013</v>
      </c>
      <c r="AA49" s="100">
        <v>23.85</v>
      </c>
      <c r="AB49" s="101">
        <f>($T$27*AA49)/$S$41</f>
        <v>0.10920885270923432</v>
      </c>
      <c r="AC49" s="100">
        <v>332</v>
      </c>
      <c r="AD49" s="101">
        <f>($T$27*AC49)/$S$41</f>
        <v>1.5202238616128212</v>
      </c>
      <c r="AE49" s="100">
        <v>26.39</v>
      </c>
      <c r="AF49" s="101">
        <f>($T$27*AE49)/$S$41</f>
        <v>0.12083948104807937</v>
      </c>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c r="BO49" s="95"/>
      <c r="BP49" s="95"/>
      <c r="BQ49" s="95"/>
      <c r="BR49" s="95"/>
      <c r="BS49" s="95"/>
      <c r="BT49" s="95"/>
      <c r="BU49" s="95"/>
      <c r="BV49" s="95"/>
      <c r="BW49" s="95"/>
      <c r="BX49" s="95"/>
      <c r="BY49" s="95"/>
      <c r="BZ49" s="95"/>
      <c r="CA49" s="95"/>
      <c r="CB49" s="95"/>
      <c r="CC49" s="95"/>
      <c r="CD49" s="95"/>
      <c r="CE49" s="95"/>
      <c r="CF49" s="95"/>
      <c r="CG49" s="95"/>
      <c r="CH49" s="95"/>
      <c r="CI49" s="95"/>
      <c r="CJ49" s="95"/>
      <c r="CK49" s="95"/>
      <c r="CL49" s="95"/>
      <c r="CM49" s="95"/>
      <c r="CN49" s="95"/>
      <c r="CO49" s="95"/>
      <c r="CP49" s="95"/>
      <c r="CQ49" s="95"/>
      <c r="CR49" s="95"/>
      <c r="CS49" s="95"/>
      <c r="CT49" s="95"/>
      <c r="CU49" s="95"/>
      <c r="CV49" s="95"/>
      <c r="CW49" s="95"/>
      <c r="CX49" s="95"/>
      <c r="CY49" s="95"/>
      <c r="CZ49" s="95"/>
      <c r="DA49" s="95"/>
      <c r="DB49" s="95"/>
      <c r="DC49" s="95"/>
      <c r="DD49" s="95"/>
      <c r="DE49" s="95"/>
      <c r="DF49" s="95"/>
      <c r="DG49" s="95"/>
      <c r="DH49" s="95"/>
      <c r="DI49" s="95"/>
      <c r="DJ49" s="95"/>
      <c r="DK49" s="95"/>
      <c r="DL49" s="95"/>
      <c r="DM49" s="95"/>
      <c r="DN49" s="95"/>
      <c r="DO49" s="95"/>
      <c r="DP49" s="95"/>
      <c r="DQ49" s="95"/>
      <c r="DR49" s="95"/>
      <c r="DS49" s="95"/>
      <c r="DT49" s="95"/>
      <c r="DU49" s="95"/>
      <c r="DV49" s="95"/>
      <c r="DW49" s="95"/>
      <c r="DX49" s="95"/>
      <c r="DY49" s="95"/>
      <c r="DZ49" s="95"/>
      <c r="EA49" s="95"/>
      <c r="EB49" s="95"/>
      <c r="EC49" s="95"/>
      <c r="ED49" s="95"/>
      <c r="EE49" s="95"/>
      <c r="EF49" s="95"/>
      <c r="EG49" s="95"/>
      <c r="EH49" s="95"/>
      <c r="EI49" s="95"/>
      <c r="EJ49" s="95"/>
      <c r="EK49" s="95"/>
      <c r="EL49" s="95"/>
      <c r="EM49" s="95"/>
      <c r="EN49" s="95"/>
      <c r="EO49" s="95"/>
      <c r="EP49" s="95"/>
      <c r="EQ49" s="95"/>
      <c r="ER49" s="95"/>
      <c r="ES49" s="95"/>
      <c r="ET49" s="95"/>
      <c r="EU49" s="95"/>
      <c r="EV49" s="95"/>
      <c r="EW49" s="95"/>
      <c r="EX49" s="95"/>
      <c r="EY49" s="95"/>
      <c r="EZ49" s="95"/>
      <c r="FA49" s="95"/>
      <c r="FB49" s="95"/>
      <c r="FC49" s="95"/>
      <c r="FD49" s="95"/>
      <c r="FE49" s="95"/>
      <c r="FF49" s="95"/>
      <c r="FG49" s="95"/>
      <c r="FH49" s="95"/>
      <c r="FI49" s="95"/>
      <c r="FJ49" s="95"/>
      <c r="FK49" s="95"/>
      <c r="FL49" s="95"/>
      <c r="FM49" s="95"/>
      <c r="FN49" s="95"/>
      <c r="FO49" s="95"/>
      <c r="FP49" s="95"/>
      <c r="FQ49" s="95"/>
      <c r="FR49" s="95"/>
      <c r="FS49" s="95"/>
      <c r="FT49" s="95"/>
      <c r="FU49" s="95"/>
      <c r="FV49" s="95"/>
      <c r="FW49" s="95"/>
      <c r="FX49" s="95"/>
      <c r="FY49" s="95"/>
      <c r="FZ49" s="95"/>
      <c r="GA49" s="95"/>
      <c r="GB49" s="95"/>
      <c r="GC49" s="95"/>
      <c r="GD49" s="95"/>
      <c r="GE49" s="95"/>
      <c r="GF49" s="95"/>
      <c r="GG49" s="95"/>
      <c r="GH49" s="95"/>
      <c r="GI49" s="95"/>
      <c r="GJ49" s="95"/>
      <c r="GK49" s="95"/>
      <c r="GL49" s="95"/>
      <c r="GM49" s="95"/>
      <c r="GN49" s="95"/>
      <c r="GO49" s="95"/>
      <c r="GP49" s="95"/>
      <c r="GQ49" s="95"/>
      <c r="GR49" s="95"/>
      <c r="GS49" s="95"/>
      <c r="GT49" s="95"/>
      <c r="GU49" s="95"/>
      <c r="GV49" s="95"/>
      <c r="GW49" s="95"/>
      <c r="GX49" s="95"/>
      <c r="GY49" s="95"/>
      <c r="GZ49" s="95"/>
      <c r="HA49" s="95"/>
      <c r="HB49" s="95"/>
      <c r="HC49" s="95"/>
      <c r="HD49" s="95"/>
      <c r="HE49" s="95"/>
      <c r="HF49" s="95"/>
      <c r="HG49" s="95"/>
      <c r="HH49" s="95"/>
      <c r="HI49" s="95"/>
      <c r="HJ49" s="95"/>
      <c r="HK49" s="95"/>
      <c r="HL49" s="95"/>
      <c r="HM49" s="95"/>
      <c r="HN49" s="95"/>
      <c r="HO49" s="95"/>
      <c r="HP49" s="95"/>
      <c r="HQ49" s="95"/>
      <c r="HR49" s="95"/>
      <c r="HS49" s="95"/>
      <c r="HT49" s="95"/>
      <c r="HU49" s="95"/>
      <c r="HV49" s="95"/>
      <c r="HW49" s="95"/>
      <c r="HX49" s="95"/>
      <c r="HY49" s="95"/>
      <c r="HZ49" s="95"/>
      <c r="IA49" s="95"/>
      <c r="IB49" s="95"/>
      <c r="IC49" s="95"/>
      <c r="ID49" s="95"/>
      <c r="IE49" s="95"/>
      <c r="IF49" s="95"/>
      <c r="IG49" s="95"/>
      <c r="IH49" s="95"/>
      <c r="II49" s="95"/>
      <c r="IJ49" s="95"/>
      <c r="IK49" s="95"/>
      <c r="IL49" s="95"/>
      <c r="IM49" s="95"/>
      <c r="IN49" s="95"/>
      <c r="IO49" s="95"/>
      <c r="IP49" s="95"/>
      <c r="IQ49" s="95"/>
      <c r="IR49" s="95"/>
    </row>
    <row r="50" spans="1:252" ht="15.6" x14ac:dyDescent="0.3">
      <c r="A50" s="103" t="s">
        <v>160</v>
      </c>
      <c r="B50" s="104" t="s">
        <v>62</v>
      </c>
      <c r="C50" s="104" t="s">
        <v>164</v>
      </c>
      <c r="D50" s="105" t="s">
        <v>165</v>
      </c>
      <c r="E50" s="99">
        <v>104.85</v>
      </c>
      <c r="F50" s="100">
        <v>391.16</v>
      </c>
      <c r="G50" s="101">
        <f>($B$27*F50)/$K$19</f>
        <v>4.9006944797761385</v>
      </c>
      <c r="H50" s="100">
        <v>43.93</v>
      </c>
      <c r="I50" s="101">
        <f>($B$27*H50)/$K$19</f>
        <v>0.5503822182650725</v>
      </c>
      <c r="J50" s="100">
        <v>34.520000000000003</v>
      </c>
      <c r="K50" s="101">
        <f>($B$27*J50)/$K$19</f>
        <v>0.43248791656067159</v>
      </c>
      <c r="L50" s="100">
        <v>332</v>
      </c>
      <c r="M50" s="101">
        <f>($B$27*L50)/$K$19</f>
        <v>4.1595013991350802</v>
      </c>
      <c r="N50" s="100">
        <v>29.68</v>
      </c>
      <c r="O50" s="101">
        <f>($B$27*N50)/$K$19</f>
        <v>0.37184940218773849</v>
      </c>
      <c r="P50" s="95"/>
      <c r="Q50" s="95"/>
      <c r="R50" s="103" t="s">
        <v>160</v>
      </c>
      <c r="S50" s="104" t="s">
        <v>62</v>
      </c>
      <c r="T50" s="104" t="s">
        <v>164</v>
      </c>
      <c r="U50" s="105" t="s">
        <v>165</v>
      </c>
      <c r="V50" s="99">
        <v>104.85</v>
      </c>
      <c r="W50" s="100">
        <v>391.16</v>
      </c>
      <c r="X50" s="101">
        <f>($T$28*W50)/$S$41</f>
        <v>4.9006944797761394</v>
      </c>
      <c r="Y50" s="100">
        <v>43.93</v>
      </c>
      <c r="Z50" s="101">
        <f>($T$28*Y50)/$S$41</f>
        <v>0.5503822182650725</v>
      </c>
      <c r="AA50" s="100">
        <v>34.520000000000003</v>
      </c>
      <c r="AB50" s="101">
        <f>($T$28*AA50)/$S$41</f>
        <v>0.4324879165606717</v>
      </c>
      <c r="AC50" s="100">
        <v>332</v>
      </c>
      <c r="AD50" s="101">
        <f>($T$28*AC50)/$S$41</f>
        <v>4.1595013991350802</v>
      </c>
      <c r="AE50" s="100">
        <v>29.68</v>
      </c>
      <c r="AF50" s="101">
        <f>($T$28*AE50)/$S$41</f>
        <v>0.37184940218773849</v>
      </c>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5"/>
      <c r="BN50" s="95"/>
      <c r="BO50" s="95"/>
      <c r="BP50" s="95"/>
      <c r="BQ50" s="95"/>
      <c r="BR50" s="95"/>
      <c r="BS50" s="95"/>
      <c r="BT50" s="95"/>
      <c r="BU50" s="95"/>
      <c r="BV50" s="95"/>
      <c r="BW50" s="95"/>
      <c r="BX50" s="95"/>
      <c r="BY50" s="95"/>
      <c r="BZ50" s="95"/>
      <c r="CA50" s="95"/>
      <c r="CB50" s="95"/>
      <c r="CC50" s="95"/>
      <c r="CD50" s="95"/>
      <c r="CE50" s="95"/>
      <c r="CF50" s="95"/>
      <c r="CG50" s="95"/>
      <c r="CH50" s="95"/>
      <c r="CI50" s="95"/>
      <c r="CJ50" s="95"/>
      <c r="CK50" s="95"/>
      <c r="CL50" s="95"/>
      <c r="CM50" s="95"/>
      <c r="CN50" s="95"/>
      <c r="CO50" s="95"/>
      <c r="CP50" s="95"/>
      <c r="CQ50" s="95"/>
      <c r="CR50" s="95"/>
      <c r="CS50" s="95"/>
      <c r="CT50" s="95"/>
      <c r="CU50" s="95"/>
      <c r="CV50" s="95"/>
      <c r="CW50" s="95"/>
      <c r="CX50" s="95"/>
      <c r="CY50" s="95"/>
      <c r="CZ50" s="95"/>
      <c r="DA50" s="95"/>
      <c r="DB50" s="95"/>
      <c r="DC50" s="95"/>
      <c r="DD50" s="95"/>
      <c r="DE50" s="95"/>
      <c r="DF50" s="95"/>
      <c r="DG50" s="95"/>
      <c r="DH50" s="95"/>
      <c r="DI50" s="95"/>
      <c r="DJ50" s="95"/>
      <c r="DK50" s="95"/>
      <c r="DL50" s="95"/>
      <c r="DM50" s="95"/>
      <c r="DN50" s="95"/>
      <c r="DO50" s="95"/>
      <c r="DP50" s="95"/>
      <c r="DQ50" s="95"/>
      <c r="DR50" s="95"/>
      <c r="DS50" s="95"/>
      <c r="DT50" s="95"/>
      <c r="DU50" s="95"/>
      <c r="DV50" s="95"/>
      <c r="DW50" s="95"/>
      <c r="DX50" s="95"/>
      <c r="DY50" s="95"/>
      <c r="DZ50" s="95"/>
      <c r="EA50" s="95"/>
      <c r="EB50" s="95"/>
      <c r="EC50" s="95"/>
      <c r="ED50" s="95"/>
      <c r="EE50" s="95"/>
      <c r="EF50" s="95"/>
      <c r="EG50" s="95"/>
      <c r="EH50" s="95"/>
      <c r="EI50" s="95"/>
      <c r="EJ50" s="95"/>
      <c r="EK50" s="95"/>
      <c r="EL50" s="95"/>
      <c r="EM50" s="95"/>
      <c r="EN50" s="95"/>
      <c r="EO50" s="95"/>
      <c r="EP50" s="95"/>
      <c r="EQ50" s="95"/>
      <c r="ER50" s="95"/>
      <c r="ES50" s="95"/>
      <c r="ET50" s="95"/>
      <c r="EU50" s="95"/>
      <c r="EV50" s="95"/>
      <c r="EW50" s="95"/>
      <c r="EX50" s="95"/>
      <c r="EY50" s="95"/>
      <c r="EZ50" s="95"/>
      <c r="FA50" s="95"/>
      <c r="FB50" s="95"/>
      <c r="FC50" s="95"/>
      <c r="FD50" s="95"/>
      <c r="FE50" s="95"/>
      <c r="FF50" s="95"/>
      <c r="FG50" s="95"/>
      <c r="FH50" s="95"/>
      <c r="FI50" s="95"/>
      <c r="FJ50" s="95"/>
      <c r="FK50" s="95"/>
      <c r="FL50" s="95"/>
      <c r="FM50" s="95"/>
      <c r="FN50" s="95"/>
      <c r="FO50" s="95"/>
      <c r="FP50" s="95"/>
      <c r="FQ50" s="95"/>
      <c r="FR50" s="95"/>
      <c r="FS50" s="95"/>
      <c r="FT50" s="95"/>
      <c r="FU50" s="95"/>
      <c r="FV50" s="95"/>
      <c r="FW50" s="95"/>
      <c r="FX50" s="95"/>
      <c r="FY50" s="95"/>
      <c r="FZ50" s="95"/>
      <c r="GA50" s="95"/>
      <c r="GB50" s="95"/>
      <c r="GC50" s="95"/>
      <c r="GD50" s="95"/>
      <c r="GE50" s="95"/>
      <c r="GF50" s="95"/>
      <c r="GG50" s="95"/>
      <c r="GH50" s="95"/>
      <c r="GI50" s="95"/>
      <c r="GJ50" s="95"/>
      <c r="GK50" s="95"/>
      <c r="GL50" s="95"/>
      <c r="GM50" s="95"/>
      <c r="GN50" s="95"/>
      <c r="GO50" s="95"/>
      <c r="GP50" s="95"/>
      <c r="GQ50" s="95"/>
      <c r="GR50" s="95"/>
      <c r="GS50" s="95"/>
      <c r="GT50" s="95"/>
      <c r="GU50" s="95"/>
      <c r="GV50" s="95"/>
      <c r="GW50" s="95"/>
      <c r="GX50" s="95"/>
      <c r="GY50" s="95"/>
      <c r="GZ50" s="95"/>
      <c r="HA50" s="95"/>
      <c r="HB50" s="95"/>
      <c r="HC50" s="95"/>
      <c r="HD50" s="95"/>
      <c r="HE50" s="95"/>
      <c r="HF50" s="95"/>
      <c r="HG50" s="95"/>
      <c r="HH50" s="95"/>
      <c r="HI50" s="95"/>
      <c r="HJ50" s="95"/>
      <c r="HK50" s="95"/>
      <c r="HL50" s="95"/>
      <c r="HM50" s="95"/>
      <c r="HN50" s="95"/>
      <c r="HO50" s="95"/>
      <c r="HP50" s="95"/>
      <c r="HQ50" s="95"/>
      <c r="HR50" s="95"/>
      <c r="HS50" s="95"/>
      <c r="HT50" s="95"/>
      <c r="HU50" s="95"/>
      <c r="HV50" s="95"/>
      <c r="HW50" s="95"/>
      <c r="HX50" s="95"/>
      <c r="HY50" s="95"/>
      <c r="HZ50" s="95"/>
      <c r="IA50" s="95"/>
      <c r="IB50" s="95"/>
      <c r="IC50" s="95"/>
      <c r="ID50" s="95"/>
      <c r="IE50" s="95"/>
      <c r="IF50" s="95"/>
      <c r="IG50" s="95"/>
      <c r="IH50" s="95"/>
      <c r="II50" s="95"/>
      <c r="IJ50" s="95"/>
      <c r="IK50" s="95"/>
      <c r="IL50" s="95"/>
      <c r="IM50" s="95"/>
      <c r="IN50" s="95"/>
      <c r="IO50" s="95"/>
      <c r="IP50" s="95"/>
      <c r="IQ50" s="95"/>
      <c r="IR50" s="95"/>
    </row>
    <row r="51" spans="1:252" ht="15.6" x14ac:dyDescent="0.3">
      <c r="A51" s="103" t="s">
        <v>160</v>
      </c>
      <c r="B51" s="104" t="s">
        <v>62</v>
      </c>
      <c r="C51" s="104" t="s">
        <v>69</v>
      </c>
      <c r="D51" s="105" t="s">
        <v>166</v>
      </c>
      <c r="E51" s="99">
        <v>104.85</v>
      </c>
      <c r="F51" s="100">
        <v>147.43</v>
      </c>
      <c r="G51" s="101">
        <f>($B$28*F51)/$K$19</f>
        <v>1.575186975324345</v>
      </c>
      <c r="H51" s="100">
        <v>42.7</v>
      </c>
      <c r="I51" s="101">
        <f>($B$28*H51)/$K$19</f>
        <v>0.45621979140167901</v>
      </c>
      <c r="J51" s="100">
        <v>24.29</v>
      </c>
      <c r="K51" s="101">
        <f>($B$28*J51)/$K$19</f>
        <v>0.25952175019079116</v>
      </c>
      <c r="L51" s="100">
        <v>332</v>
      </c>
      <c r="M51" s="101">
        <f>($B$28*L51)/$K$19</f>
        <v>3.547189010429916</v>
      </c>
      <c r="N51" s="102">
        <v>5.85</v>
      </c>
      <c r="O51" s="101">
        <f>($B$28*N51)/$K$19</f>
        <v>6.2503179852454849E-2</v>
      </c>
      <c r="P51" s="95"/>
      <c r="Q51" s="95"/>
      <c r="R51" s="103" t="s">
        <v>160</v>
      </c>
      <c r="S51" s="104" t="s">
        <v>62</v>
      </c>
      <c r="T51" s="104" t="s">
        <v>69</v>
      </c>
      <c r="U51" s="105" t="s">
        <v>166</v>
      </c>
      <c r="V51" s="99">
        <v>104.85</v>
      </c>
      <c r="W51" s="100">
        <v>147.43</v>
      </c>
      <c r="X51" s="101">
        <f>($T$29*W51)/$S$41</f>
        <v>1.5751869753243448</v>
      </c>
      <c r="Y51" s="100">
        <v>42.7</v>
      </c>
      <c r="Z51" s="101">
        <f>($T$29*Y51)/$S$41</f>
        <v>0.45621979140167895</v>
      </c>
      <c r="AA51" s="100">
        <v>24.29</v>
      </c>
      <c r="AB51" s="101">
        <f>($T$29*AA51)/$S$41</f>
        <v>0.2595217501907911</v>
      </c>
      <c r="AC51" s="100">
        <v>332</v>
      </c>
      <c r="AD51" s="101">
        <f>($T$29*AC51)/$S$41</f>
        <v>3.5471890104299155</v>
      </c>
      <c r="AE51" s="102">
        <v>5.85</v>
      </c>
      <c r="AF51" s="101">
        <f>($T$29*AE51)/$S$41</f>
        <v>6.2503179852454835E-2</v>
      </c>
      <c r="AG51" s="95"/>
      <c r="AH51" s="95"/>
      <c r="AI51" s="95"/>
      <c r="AJ51" s="95"/>
      <c r="AK51" s="95"/>
      <c r="AL51" s="95"/>
      <c r="AM51" s="95"/>
      <c r="AN51" s="95"/>
      <c r="AO51" s="95"/>
      <c r="AP51" s="95"/>
      <c r="AQ51" s="95"/>
      <c r="AR51" s="95"/>
      <c r="AS51" s="95"/>
      <c r="AT51" s="95"/>
      <c r="AU51" s="95"/>
      <c r="AV51" s="95"/>
      <c r="AW51" s="95"/>
      <c r="AX51" s="95"/>
      <c r="AY51" s="95"/>
      <c r="AZ51" s="95"/>
      <c r="BA51" s="95"/>
      <c r="BB51" s="95"/>
      <c r="BC51" s="95"/>
      <c r="BD51" s="95"/>
      <c r="BE51" s="95"/>
      <c r="BF51" s="95"/>
      <c r="BG51" s="95"/>
      <c r="BH51" s="95"/>
      <c r="BI51" s="95"/>
      <c r="BJ51" s="95"/>
      <c r="BK51" s="95"/>
      <c r="BL51" s="95"/>
      <c r="BM51" s="95"/>
      <c r="BN51" s="95"/>
      <c r="BO51" s="95"/>
      <c r="BP51" s="95"/>
      <c r="BQ51" s="95"/>
      <c r="BR51" s="95"/>
      <c r="BS51" s="95"/>
      <c r="BT51" s="95"/>
      <c r="BU51" s="95"/>
      <c r="BV51" s="95"/>
      <c r="BW51" s="95"/>
      <c r="BX51" s="95"/>
      <c r="BY51" s="95"/>
      <c r="BZ51" s="95"/>
      <c r="CA51" s="95"/>
      <c r="CB51" s="95"/>
      <c r="CC51" s="95"/>
      <c r="CD51" s="95"/>
      <c r="CE51" s="95"/>
      <c r="CF51" s="95"/>
      <c r="CG51" s="95"/>
      <c r="CH51" s="95"/>
      <c r="CI51" s="95"/>
      <c r="CJ51" s="95"/>
      <c r="CK51" s="95"/>
      <c r="CL51" s="95"/>
      <c r="CM51" s="95"/>
      <c r="CN51" s="95"/>
      <c r="CO51" s="95"/>
      <c r="CP51" s="95"/>
      <c r="CQ51" s="95"/>
      <c r="CR51" s="95"/>
      <c r="CS51" s="95"/>
      <c r="CT51" s="95"/>
      <c r="CU51" s="95"/>
      <c r="CV51" s="95"/>
      <c r="CW51" s="95"/>
      <c r="CX51" s="95"/>
      <c r="CY51" s="95"/>
      <c r="CZ51" s="95"/>
      <c r="DA51" s="95"/>
      <c r="DB51" s="95"/>
      <c r="DC51" s="95"/>
      <c r="DD51" s="95"/>
      <c r="DE51" s="95"/>
      <c r="DF51" s="95"/>
      <c r="DG51" s="95"/>
      <c r="DH51" s="95"/>
      <c r="DI51" s="95"/>
      <c r="DJ51" s="95"/>
      <c r="DK51" s="95"/>
      <c r="DL51" s="95"/>
      <c r="DM51" s="95"/>
      <c r="DN51" s="95"/>
      <c r="DO51" s="95"/>
      <c r="DP51" s="95"/>
      <c r="DQ51" s="95"/>
      <c r="DR51" s="95"/>
      <c r="DS51" s="95"/>
      <c r="DT51" s="95"/>
      <c r="DU51" s="95"/>
      <c r="DV51" s="95"/>
      <c r="DW51" s="95"/>
      <c r="DX51" s="95"/>
      <c r="DY51" s="95"/>
      <c r="DZ51" s="95"/>
      <c r="EA51" s="95"/>
      <c r="EB51" s="95"/>
      <c r="EC51" s="95"/>
      <c r="ED51" s="95"/>
      <c r="EE51" s="95"/>
      <c r="EF51" s="95"/>
      <c r="EG51" s="95"/>
      <c r="EH51" s="95"/>
      <c r="EI51" s="95"/>
      <c r="EJ51" s="95"/>
      <c r="EK51" s="95"/>
      <c r="EL51" s="95"/>
      <c r="EM51" s="95"/>
      <c r="EN51" s="95"/>
      <c r="EO51" s="95"/>
      <c r="EP51" s="95"/>
      <c r="EQ51" s="95"/>
      <c r="ER51" s="95"/>
      <c r="ES51" s="95"/>
      <c r="ET51" s="95"/>
      <c r="EU51" s="95"/>
      <c r="EV51" s="95"/>
      <c r="EW51" s="95"/>
      <c r="EX51" s="95"/>
      <c r="EY51" s="95"/>
      <c r="EZ51" s="95"/>
      <c r="FA51" s="95"/>
      <c r="FB51" s="95"/>
      <c r="FC51" s="95"/>
      <c r="FD51" s="95"/>
      <c r="FE51" s="95"/>
      <c r="FF51" s="95"/>
      <c r="FG51" s="95"/>
      <c r="FH51" s="95"/>
      <c r="FI51" s="95"/>
      <c r="FJ51" s="95"/>
      <c r="FK51" s="95"/>
      <c r="FL51" s="95"/>
      <c r="FM51" s="95"/>
      <c r="FN51" s="95"/>
      <c r="FO51" s="95"/>
      <c r="FP51" s="95"/>
      <c r="FQ51" s="95"/>
      <c r="FR51" s="95"/>
      <c r="FS51" s="95"/>
      <c r="FT51" s="95"/>
      <c r="FU51" s="95"/>
      <c r="FV51" s="95"/>
      <c r="FW51" s="95"/>
      <c r="FX51" s="95"/>
      <c r="FY51" s="95"/>
      <c r="FZ51" s="95"/>
      <c r="GA51" s="95"/>
      <c r="GB51" s="95"/>
      <c r="GC51" s="95"/>
      <c r="GD51" s="95"/>
      <c r="GE51" s="95"/>
      <c r="GF51" s="95"/>
      <c r="GG51" s="95"/>
      <c r="GH51" s="95"/>
      <c r="GI51" s="95"/>
      <c r="GJ51" s="95"/>
      <c r="GK51" s="95"/>
      <c r="GL51" s="95"/>
      <c r="GM51" s="95"/>
      <c r="GN51" s="95"/>
      <c r="GO51" s="95"/>
      <c r="GP51" s="95"/>
      <c r="GQ51" s="95"/>
      <c r="GR51" s="95"/>
      <c r="GS51" s="95"/>
      <c r="GT51" s="95"/>
      <c r="GU51" s="95"/>
      <c r="GV51" s="95"/>
      <c r="GW51" s="95"/>
      <c r="GX51" s="95"/>
      <c r="GY51" s="95"/>
      <c r="GZ51" s="95"/>
      <c r="HA51" s="95"/>
      <c r="HB51" s="95"/>
      <c r="HC51" s="95"/>
      <c r="HD51" s="95"/>
      <c r="HE51" s="95"/>
      <c r="HF51" s="95"/>
      <c r="HG51" s="95"/>
      <c r="HH51" s="95"/>
      <c r="HI51" s="95"/>
      <c r="HJ51" s="95"/>
      <c r="HK51" s="95"/>
      <c r="HL51" s="95"/>
      <c r="HM51" s="95"/>
      <c r="HN51" s="95"/>
      <c r="HO51" s="95"/>
      <c r="HP51" s="95"/>
      <c r="HQ51" s="95"/>
      <c r="HR51" s="95"/>
      <c r="HS51" s="95"/>
      <c r="HT51" s="95"/>
      <c r="HU51" s="95"/>
      <c r="HV51" s="95"/>
      <c r="HW51" s="95"/>
      <c r="HX51" s="95"/>
      <c r="HY51" s="95"/>
      <c r="HZ51" s="95"/>
      <c r="IA51" s="95"/>
      <c r="IB51" s="95"/>
      <c r="IC51" s="95"/>
      <c r="ID51" s="95"/>
      <c r="IE51" s="95"/>
      <c r="IF51" s="95"/>
      <c r="IG51" s="95"/>
      <c r="IH51" s="95"/>
      <c r="II51" s="95"/>
      <c r="IJ51" s="95"/>
      <c r="IK51" s="95"/>
      <c r="IL51" s="95"/>
      <c r="IM51" s="95"/>
      <c r="IN51" s="95"/>
      <c r="IO51" s="95"/>
      <c r="IP51" s="95"/>
      <c r="IQ51" s="95"/>
      <c r="IR51" s="95"/>
    </row>
    <row r="52" spans="1:252" ht="15.6" x14ac:dyDescent="0.3">
      <c r="A52" s="103" t="s">
        <v>160</v>
      </c>
      <c r="B52" s="104" t="s">
        <v>62</v>
      </c>
      <c r="C52" s="104" t="s">
        <v>71</v>
      </c>
      <c r="D52" s="105" t="s">
        <v>167</v>
      </c>
      <c r="E52" s="99">
        <v>104.85</v>
      </c>
      <c r="F52" s="100">
        <v>72.819999999999993</v>
      </c>
      <c r="G52" s="101">
        <f>($B$29*F52)/$K$19</f>
        <v>1.0836860849656573</v>
      </c>
      <c r="H52" s="100">
        <v>42.7</v>
      </c>
      <c r="I52" s="101">
        <f>($B$29*H52)/$K$19</f>
        <v>0.63544899516662434</v>
      </c>
      <c r="J52" s="100">
        <v>16.79</v>
      </c>
      <c r="K52" s="101">
        <f>($B$29*J52)/$K$19</f>
        <v>0.24986390231493258</v>
      </c>
      <c r="L52" s="100">
        <v>332</v>
      </c>
      <c r="M52" s="101">
        <f>($B$29*L52)/$K$19</f>
        <v>4.940727550241669</v>
      </c>
      <c r="N52" s="102">
        <v>3.9</v>
      </c>
      <c r="O52" s="101">
        <f>($B$29*N52)/$K$19</f>
        <v>5.8038667005850933E-2</v>
      </c>
      <c r="P52" s="95"/>
      <c r="Q52" s="95"/>
      <c r="R52" s="103" t="s">
        <v>160</v>
      </c>
      <c r="S52" s="104" t="s">
        <v>62</v>
      </c>
      <c r="T52" s="104" t="s">
        <v>71</v>
      </c>
      <c r="U52" s="105" t="s">
        <v>167</v>
      </c>
      <c r="V52" s="99">
        <v>104.85</v>
      </c>
      <c r="W52" s="100">
        <v>72.819999999999993</v>
      </c>
      <c r="X52" s="101">
        <f>($T$30*W52)/$S$41</f>
        <v>1.0836860849656575</v>
      </c>
      <c r="Y52" s="100">
        <v>42.7</v>
      </c>
      <c r="Z52" s="101">
        <f>($T$30*Y52)/$S$41</f>
        <v>0.63544899516662434</v>
      </c>
      <c r="AA52" s="100">
        <v>16.79</v>
      </c>
      <c r="AB52" s="101">
        <f>($T$30*AA52)/$S$41</f>
        <v>0.24986390231493255</v>
      </c>
      <c r="AC52" s="100">
        <v>332</v>
      </c>
      <c r="AD52" s="101">
        <f>($T$30*AC52)/$S$41</f>
        <v>4.940727550241669</v>
      </c>
      <c r="AE52" s="102">
        <v>3.9</v>
      </c>
      <c r="AF52" s="101">
        <f>($T$30*AE52)/$S$41</f>
        <v>5.8038667005850926E-2</v>
      </c>
      <c r="AG52" s="95"/>
      <c r="AH52" s="95"/>
      <c r="AI52" s="95"/>
      <c r="AJ52" s="95"/>
      <c r="AK52" s="95"/>
      <c r="AL52" s="95"/>
      <c r="AM52" s="95"/>
      <c r="AN52" s="95"/>
      <c r="AO52" s="95"/>
      <c r="AP52" s="95"/>
      <c r="AQ52" s="95"/>
      <c r="AR52" s="95"/>
      <c r="AS52" s="95"/>
      <c r="AT52" s="95"/>
      <c r="AU52" s="95"/>
      <c r="AV52" s="95"/>
      <c r="AW52" s="95"/>
      <c r="AX52" s="95"/>
      <c r="AY52" s="95"/>
      <c r="AZ52" s="95"/>
      <c r="BA52" s="95"/>
      <c r="BB52" s="95"/>
      <c r="BC52" s="95"/>
      <c r="BD52" s="95"/>
      <c r="BE52" s="95"/>
      <c r="BF52" s="95"/>
      <c r="BG52" s="95"/>
      <c r="BH52" s="95"/>
      <c r="BI52" s="95"/>
      <c r="BJ52" s="95"/>
      <c r="BK52" s="95"/>
      <c r="BL52" s="95"/>
      <c r="BM52" s="95"/>
      <c r="BN52" s="95"/>
      <c r="BO52" s="95"/>
      <c r="BP52" s="95"/>
      <c r="BQ52" s="95"/>
      <c r="BR52" s="95"/>
      <c r="BS52" s="95"/>
      <c r="BT52" s="95"/>
      <c r="BU52" s="95"/>
      <c r="BV52" s="95"/>
      <c r="BW52" s="95"/>
      <c r="BX52" s="95"/>
      <c r="BY52" s="95"/>
      <c r="BZ52" s="95"/>
      <c r="CA52" s="95"/>
      <c r="CB52" s="95"/>
      <c r="CC52" s="95"/>
      <c r="CD52" s="95"/>
      <c r="CE52" s="95"/>
      <c r="CF52" s="95"/>
      <c r="CG52" s="95"/>
      <c r="CH52" s="95"/>
      <c r="CI52" s="95"/>
      <c r="CJ52" s="95"/>
      <c r="CK52" s="95"/>
      <c r="CL52" s="95"/>
      <c r="CM52" s="95"/>
      <c r="CN52" s="95"/>
      <c r="CO52" s="95"/>
      <c r="CP52" s="95"/>
      <c r="CQ52" s="95"/>
      <c r="CR52" s="95"/>
      <c r="CS52" s="95"/>
      <c r="CT52" s="95"/>
      <c r="CU52" s="95"/>
      <c r="CV52" s="95"/>
      <c r="CW52" s="95"/>
      <c r="CX52" s="95"/>
      <c r="CY52" s="95"/>
      <c r="CZ52" s="95"/>
      <c r="DA52" s="95"/>
      <c r="DB52" s="95"/>
      <c r="DC52" s="95"/>
      <c r="DD52" s="95"/>
      <c r="DE52" s="95"/>
      <c r="DF52" s="95"/>
      <c r="DG52" s="95"/>
      <c r="DH52" s="95"/>
      <c r="DI52" s="95"/>
      <c r="DJ52" s="95"/>
      <c r="DK52" s="95"/>
      <c r="DL52" s="95"/>
      <c r="DM52" s="95"/>
      <c r="DN52" s="95"/>
      <c r="DO52" s="95"/>
      <c r="DP52" s="95"/>
      <c r="DQ52" s="95"/>
      <c r="DR52" s="95"/>
      <c r="DS52" s="95"/>
      <c r="DT52" s="95"/>
      <c r="DU52" s="95"/>
      <c r="DV52" s="95"/>
      <c r="DW52" s="95"/>
      <c r="DX52" s="95"/>
      <c r="DY52" s="95"/>
      <c r="DZ52" s="95"/>
      <c r="EA52" s="95"/>
      <c r="EB52" s="95"/>
      <c r="EC52" s="95"/>
      <c r="ED52" s="95"/>
      <c r="EE52" s="95"/>
      <c r="EF52" s="95"/>
      <c r="EG52" s="95"/>
      <c r="EH52" s="95"/>
      <c r="EI52" s="95"/>
      <c r="EJ52" s="95"/>
      <c r="EK52" s="95"/>
      <c r="EL52" s="95"/>
      <c r="EM52" s="95"/>
      <c r="EN52" s="95"/>
      <c r="EO52" s="95"/>
      <c r="EP52" s="95"/>
      <c r="EQ52" s="95"/>
      <c r="ER52" s="95"/>
      <c r="ES52" s="95"/>
      <c r="ET52" s="95"/>
      <c r="EU52" s="95"/>
      <c r="EV52" s="95"/>
      <c r="EW52" s="95"/>
      <c r="EX52" s="95"/>
      <c r="EY52" s="95"/>
      <c r="EZ52" s="95"/>
      <c r="FA52" s="95"/>
      <c r="FB52" s="95"/>
      <c r="FC52" s="95"/>
      <c r="FD52" s="95"/>
      <c r="FE52" s="95"/>
      <c r="FF52" s="95"/>
      <c r="FG52" s="95"/>
      <c r="FH52" s="95"/>
      <c r="FI52" s="95"/>
      <c r="FJ52" s="95"/>
      <c r="FK52" s="95"/>
      <c r="FL52" s="95"/>
      <c r="FM52" s="95"/>
      <c r="FN52" s="95"/>
      <c r="FO52" s="95"/>
      <c r="FP52" s="95"/>
      <c r="FQ52" s="95"/>
      <c r="FR52" s="95"/>
      <c r="FS52" s="95"/>
      <c r="FT52" s="95"/>
      <c r="FU52" s="95"/>
      <c r="FV52" s="95"/>
      <c r="FW52" s="95"/>
      <c r="FX52" s="95"/>
      <c r="FY52" s="95"/>
      <c r="FZ52" s="95"/>
      <c r="GA52" s="95"/>
      <c r="GB52" s="95"/>
      <c r="GC52" s="95"/>
      <c r="GD52" s="95"/>
      <c r="GE52" s="95"/>
      <c r="GF52" s="95"/>
      <c r="GG52" s="95"/>
      <c r="GH52" s="95"/>
      <c r="GI52" s="95"/>
      <c r="GJ52" s="95"/>
      <c r="GK52" s="95"/>
      <c r="GL52" s="95"/>
      <c r="GM52" s="95"/>
      <c r="GN52" s="95"/>
      <c r="GO52" s="95"/>
      <c r="GP52" s="95"/>
      <c r="GQ52" s="95"/>
      <c r="GR52" s="95"/>
      <c r="GS52" s="95"/>
      <c r="GT52" s="95"/>
      <c r="GU52" s="95"/>
      <c r="GV52" s="95"/>
      <c r="GW52" s="95"/>
      <c r="GX52" s="95"/>
      <c r="GY52" s="95"/>
      <c r="GZ52" s="95"/>
      <c r="HA52" s="95"/>
      <c r="HB52" s="95"/>
      <c r="HC52" s="95"/>
      <c r="HD52" s="95"/>
      <c r="HE52" s="95"/>
      <c r="HF52" s="95"/>
      <c r="HG52" s="95"/>
      <c r="HH52" s="95"/>
      <c r="HI52" s="95"/>
      <c r="HJ52" s="95"/>
      <c r="HK52" s="95"/>
      <c r="HL52" s="95"/>
      <c r="HM52" s="95"/>
      <c r="HN52" s="95"/>
      <c r="HO52" s="95"/>
      <c r="HP52" s="95"/>
      <c r="HQ52" s="95"/>
      <c r="HR52" s="95"/>
      <c r="HS52" s="95"/>
      <c r="HT52" s="95"/>
      <c r="HU52" s="95"/>
      <c r="HV52" s="95"/>
      <c r="HW52" s="95"/>
      <c r="HX52" s="95"/>
      <c r="HY52" s="95"/>
      <c r="HZ52" s="95"/>
      <c r="IA52" s="95"/>
      <c r="IB52" s="95"/>
      <c r="IC52" s="95"/>
      <c r="ID52" s="95"/>
      <c r="IE52" s="95"/>
      <c r="IF52" s="95"/>
      <c r="IG52" s="95"/>
      <c r="IH52" s="95"/>
      <c r="II52" s="95"/>
      <c r="IJ52" s="95"/>
      <c r="IK52" s="95"/>
      <c r="IL52" s="95"/>
      <c r="IM52" s="95"/>
      <c r="IN52" s="95"/>
      <c r="IO52" s="95"/>
      <c r="IP52" s="95"/>
      <c r="IQ52" s="95"/>
      <c r="IR52" s="95"/>
    </row>
    <row r="53" spans="1:252" ht="15.6" x14ac:dyDescent="0.3">
      <c r="A53" s="103" t="s">
        <v>160</v>
      </c>
      <c r="B53" s="104" t="s">
        <v>62</v>
      </c>
      <c r="C53" s="104" t="s">
        <v>73</v>
      </c>
      <c r="D53" s="105" t="s">
        <v>168</v>
      </c>
      <c r="E53" s="99">
        <v>66.8</v>
      </c>
      <c r="F53" s="100">
        <v>39.89</v>
      </c>
      <c r="G53" s="101">
        <f>(($B$30+$B$31)*F53)/$K$19</f>
        <v>0.28413126430933605</v>
      </c>
      <c r="H53" s="100">
        <v>42.07</v>
      </c>
      <c r="I53" s="101">
        <f>(($B$30+$B$31)*H53)/$K$19</f>
        <v>0.29965911981684051</v>
      </c>
      <c r="J53" s="100">
        <v>16.79</v>
      </c>
      <c r="K53" s="101">
        <f>(($B$30+$B$31)*J53)/$K$19</f>
        <v>0.1195929788857797</v>
      </c>
      <c r="L53" s="100">
        <v>211.52</v>
      </c>
      <c r="M53" s="101">
        <f>(($B$30+$B$31)*L53)/$K$19</f>
        <v>1.5066293563978632</v>
      </c>
      <c r="N53" s="102">
        <v>1.01</v>
      </c>
      <c r="O53" s="101">
        <f>(($B$30+$B$31)*N53)/$K$19</f>
        <v>7.1940981938438059E-3</v>
      </c>
      <c r="P53" s="95"/>
      <c r="Q53" s="95"/>
      <c r="R53" s="103" t="s">
        <v>160</v>
      </c>
      <c r="S53" s="104" t="s">
        <v>62</v>
      </c>
      <c r="T53" s="104" t="s">
        <v>73</v>
      </c>
      <c r="U53" s="105" t="s">
        <v>168</v>
      </c>
      <c r="V53" s="99">
        <v>66.8</v>
      </c>
      <c r="W53" s="100">
        <v>39.89</v>
      </c>
      <c r="X53" s="101">
        <f>(($T$31+$T$32)*W53)/$S$41</f>
        <v>0.28413126430933605</v>
      </c>
      <c r="Y53" s="100">
        <v>42.07</v>
      </c>
      <c r="Z53" s="101">
        <f>(($T$31+$T$32)*Y53)/$S$41</f>
        <v>0.29965911981684051</v>
      </c>
      <c r="AA53" s="100">
        <v>16.79</v>
      </c>
      <c r="AB53" s="101">
        <f>(($T$31+$T$32)*AA53)/$S$41</f>
        <v>0.11959297888577969</v>
      </c>
      <c r="AC53" s="100">
        <v>211.52</v>
      </c>
      <c r="AD53" s="101">
        <f>(($T$31+$T$32)*AC53)/$S$41</f>
        <v>1.5066293563978632</v>
      </c>
      <c r="AE53" s="102">
        <v>1.01</v>
      </c>
      <c r="AF53" s="101">
        <f>(($T$31+$T$32)*AE53)/$S$41</f>
        <v>7.1940981938438059E-3</v>
      </c>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5"/>
      <c r="BR53" s="95"/>
      <c r="BS53" s="95"/>
      <c r="BT53" s="95"/>
      <c r="BU53" s="95"/>
      <c r="BV53" s="95"/>
      <c r="BW53" s="95"/>
      <c r="BX53" s="95"/>
      <c r="BY53" s="95"/>
      <c r="BZ53" s="95"/>
      <c r="CA53" s="95"/>
      <c r="CB53" s="95"/>
      <c r="CC53" s="95"/>
      <c r="CD53" s="95"/>
      <c r="CE53" s="95"/>
      <c r="CF53" s="95"/>
      <c r="CG53" s="95"/>
      <c r="CH53" s="95"/>
      <c r="CI53" s="95"/>
      <c r="CJ53" s="95"/>
      <c r="CK53" s="95"/>
      <c r="CL53" s="95"/>
      <c r="CM53" s="95"/>
      <c r="CN53" s="95"/>
      <c r="CO53" s="95"/>
      <c r="CP53" s="95"/>
      <c r="CQ53" s="95"/>
      <c r="CR53" s="95"/>
      <c r="CS53" s="95"/>
      <c r="CT53" s="95"/>
      <c r="CU53" s="95"/>
      <c r="CV53" s="95"/>
      <c r="CW53" s="95"/>
      <c r="CX53" s="95"/>
      <c r="CY53" s="95"/>
      <c r="CZ53" s="95"/>
      <c r="DA53" s="95"/>
      <c r="DB53" s="95"/>
      <c r="DC53" s="95"/>
      <c r="DD53" s="95"/>
      <c r="DE53" s="95"/>
      <c r="DF53" s="95"/>
      <c r="DG53" s="95"/>
      <c r="DH53" s="95"/>
      <c r="DI53" s="95"/>
      <c r="DJ53" s="95"/>
      <c r="DK53" s="95"/>
      <c r="DL53" s="95"/>
      <c r="DM53" s="95"/>
      <c r="DN53" s="95"/>
      <c r="DO53" s="95"/>
      <c r="DP53" s="95"/>
      <c r="DQ53" s="95"/>
      <c r="DR53" s="95"/>
      <c r="DS53" s="95"/>
      <c r="DT53" s="95"/>
      <c r="DU53" s="95"/>
      <c r="DV53" s="95"/>
      <c r="DW53" s="95"/>
      <c r="DX53" s="95"/>
      <c r="DY53" s="95"/>
      <c r="DZ53" s="95"/>
      <c r="EA53" s="95"/>
      <c r="EB53" s="95"/>
      <c r="EC53" s="95"/>
      <c r="ED53" s="95"/>
      <c r="EE53" s="95"/>
      <c r="EF53" s="95"/>
      <c r="EG53" s="95"/>
      <c r="EH53" s="95"/>
      <c r="EI53" s="95"/>
      <c r="EJ53" s="95"/>
      <c r="EK53" s="95"/>
      <c r="EL53" s="95"/>
      <c r="EM53" s="95"/>
      <c r="EN53" s="95"/>
      <c r="EO53" s="95"/>
      <c r="EP53" s="95"/>
      <c r="EQ53" s="95"/>
      <c r="ER53" s="95"/>
      <c r="ES53" s="95"/>
      <c r="ET53" s="95"/>
      <c r="EU53" s="95"/>
      <c r="EV53" s="95"/>
      <c r="EW53" s="95"/>
      <c r="EX53" s="95"/>
      <c r="EY53" s="95"/>
      <c r="EZ53" s="95"/>
      <c r="FA53" s="95"/>
      <c r="FB53" s="95"/>
      <c r="FC53" s="95"/>
      <c r="FD53" s="95"/>
      <c r="FE53" s="95"/>
      <c r="FF53" s="95"/>
      <c r="FG53" s="95"/>
      <c r="FH53" s="95"/>
      <c r="FI53" s="95"/>
      <c r="FJ53" s="95"/>
      <c r="FK53" s="95"/>
      <c r="FL53" s="95"/>
      <c r="FM53" s="95"/>
      <c r="FN53" s="95"/>
      <c r="FO53" s="95"/>
      <c r="FP53" s="95"/>
      <c r="FQ53" s="95"/>
      <c r="FR53" s="95"/>
      <c r="FS53" s="95"/>
      <c r="FT53" s="95"/>
      <c r="FU53" s="95"/>
      <c r="FV53" s="95"/>
      <c r="FW53" s="95"/>
      <c r="FX53" s="95"/>
      <c r="FY53" s="95"/>
      <c r="FZ53" s="95"/>
      <c r="GA53" s="95"/>
      <c r="GB53" s="95"/>
      <c r="GC53" s="95"/>
      <c r="GD53" s="95"/>
      <c r="GE53" s="95"/>
      <c r="GF53" s="95"/>
      <c r="GG53" s="95"/>
      <c r="GH53" s="95"/>
      <c r="GI53" s="95"/>
      <c r="GJ53" s="95"/>
      <c r="GK53" s="95"/>
      <c r="GL53" s="95"/>
      <c r="GM53" s="95"/>
      <c r="GN53" s="95"/>
      <c r="GO53" s="95"/>
      <c r="GP53" s="95"/>
      <c r="GQ53" s="95"/>
      <c r="GR53" s="95"/>
      <c r="GS53" s="95"/>
      <c r="GT53" s="95"/>
      <c r="GU53" s="95"/>
      <c r="GV53" s="95"/>
      <c r="GW53" s="95"/>
      <c r="GX53" s="95"/>
      <c r="GY53" s="95"/>
      <c r="GZ53" s="95"/>
      <c r="HA53" s="95"/>
      <c r="HB53" s="95"/>
      <c r="HC53" s="95"/>
      <c r="HD53" s="95"/>
      <c r="HE53" s="95"/>
      <c r="HF53" s="95"/>
      <c r="HG53" s="95"/>
      <c r="HH53" s="95"/>
      <c r="HI53" s="95"/>
      <c r="HJ53" s="95"/>
      <c r="HK53" s="95"/>
      <c r="HL53" s="95"/>
      <c r="HM53" s="95"/>
      <c r="HN53" s="95"/>
      <c r="HO53" s="95"/>
      <c r="HP53" s="95"/>
      <c r="HQ53" s="95"/>
      <c r="HR53" s="95"/>
      <c r="HS53" s="95"/>
      <c r="HT53" s="95"/>
      <c r="HU53" s="95"/>
      <c r="HV53" s="95"/>
      <c r="HW53" s="95"/>
      <c r="HX53" s="95"/>
      <c r="HY53" s="95"/>
      <c r="HZ53" s="95"/>
      <c r="IA53" s="95"/>
      <c r="IB53" s="95"/>
      <c r="IC53" s="95"/>
      <c r="ID53" s="95"/>
      <c r="IE53" s="95"/>
      <c r="IF53" s="95"/>
      <c r="IG53" s="95"/>
      <c r="IH53" s="95"/>
      <c r="II53" s="95"/>
      <c r="IJ53" s="95"/>
      <c r="IK53" s="95"/>
      <c r="IL53" s="95"/>
      <c r="IM53" s="95"/>
      <c r="IN53" s="95"/>
      <c r="IO53" s="95"/>
      <c r="IP53" s="95"/>
      <c r="IQ53" s="95"/>
      <c r="IR53" s="95"/>
    </row>
    <row r="54" spans="1:252" ht="15.6" x14ac:dyDescent="0.3">
      <c r="A54" s="103" t="s">
        <v>160</v>
      </c>
      <c r="B54" s="104" t="s">
        <v>62</v>
      </c>
      <c r="C54" s="104" t="s">
        <v>75</v>
      </c>
      <c r="D54" s="105" t="s">
        <v>169</v>
      </c>
      <c r="E54" s="99">
        <v>66.8</v>
      </c>
      <c r="F54" s="100">
        <v>21.28</v>
      </c>
      <c r="G54" s="101">
        <f>(($B$32+$B$33+$B$34+$B$35+$H$32)*F54)/$K$19</f>
        <v>0.65501907911472912</v>
      </c>
      <c r="H54" s="100">
        <v>41.82</v>
      </c>
      <c r="I54" s="101">
        <f>(($B$32+$B$33+$B$34+$B$35+$H$32)*H54)/$K$19</f>
        <v>1.2872602391249046</v>
      </c>
      <c r="J54" s="100">
        <v>16.79</v>
      </c>
      <c r="K54" s="101">
        <f>(($B$32+$B$33+$B$34+$B$35+$H$32)*J54)/$K$19</f>
        <v>0.51681251589926225</v>
      </c>
      <c r="L54" s="100">
        <v>211.52</v>
      </c>
      <c r="M54" s="101">
        <f>(($B$32+$B$33+$B$34+$B$35+$H$32)*L54)/$K$19</f>
        <v>6.5107911472907665</v>
      </c>
      <c r="N54" s="102">
        <v>0.99</v>
      </c>
      <c r="O54" s="101">
        <f>(($B$32+$B$33+$B$34+$B$35+$H$32)*N54)/$K$19</f>
        <v>3.0473162045281096E-2</v>
      </c>
      <c r="P54" s="95"/>
      <c r="Q54" s="95"/>
      <c r="R54" s="103" t="s">
        <v>160</v>
      </c>
      <c r="S54" s="104" t="s">
        <v>62</v>
      </c>
      <c r="T54" s="104" t="s">
        <v>75</v>
      </c>
      <c r="U54" s="105" t="s">
        <v>169</v>
      </c>
      <c r="V54" s="99">
        <v>66.8</v>
      </c>
      <c r="W54" s="100">
        <v>21.28</v>
      </c>
      <c r="X54" s="101">
        <f>(($T$33+$T$34+$T$35+$T$36)*W54)/$S$41</f>
        <v>0.65501907911472901</v>
      </c>
      <c r="Y54" s="100">
        <v>41.82</v>
      </c>
      <c r="Z54" s="101">
        <f>(($T$33+$T$34+$T$35+$T$36)*Y54)/$S$41</f>
        <v>1.2872602391249044</v>
      </c>
      <c r="AA54" s="100">
        <v>16.79</v>
      </c>
      <c r="AB54" s="101">
        <f>(($T$33+$T$34+$T$35+$T$36)*AA54)/$S$41</f>
        <v>0.51681251589926225</v>
      </c>
      <c r="AC54" s="100">
        <v>211.52</v>
      </c>
      <c r="AD54" s="101">
        <f>(($T$33+$T$34+$T$35+$T$36)*AC54)/$S$41</f>
        <v>6.5107911472907647</v>
      </c>
      <c r="AE54" s="102">
        <v>0.99</v>
      </c>
      <c r="AF54" s="101">
        <f>(($T$33+$T$34+$T$35+$T$36)*AE54)/$S$41</f>
        <v>3.0473162045281096E-2</v>
      </c>
      <c r="AG54" s="95"/>
      <c r="AH54" s="95"/>
      <c r="AI54" s="95"/>
      <c r="AJ54" s="95"/>
      <c r="AK54" s="95"/>
      <c r="AL54" s="95"/>
      <c r="AM54" s="95"/>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5"/>
      <c r="BR54" s="95"/>
      <c r="BS54" s="95"/>
      <c r="BT54" s="95"/>
      <c r="BU54" s="95"/>
      <c r="BV54" s="95"/>
      <c r="BW54" s="95"/>
      <c r="BX54" s="95"/>
      <c r="BY54" s="95"/>
      <c r="BZ54" s="95"/>
      <c r="CA54" s="95"/>
      <c r="CB54" s="95"/>
      <c r="CC54" s="95"/>
      <c r="CD54" s="95"/>
      <c r="CE54" s="95"/>
      <c r="CF54" s="95"/>
      <c r="CG54" s="95"/>
      <c r="CH54" s="95"/>
      <c r="CI54" s="95"/>
      <c r="CJ54" s="95"/>
      <c r="CK54" s="95"/>
      <c r="CL54" s="95"/>
      <c r="CM54" s="95"/>
      <c r="CN54" s="95"/>
      <c r="CO54" s="95"/>
      <c r="CP54" s="95"/>
      <c r="CQ54" s="95"/>
      <c r="CR54" s="95"/>
      <c r="CS54" s="95"/>
      <c r="CT54" s="95"/>
      <c r="CU54" s="95"/>
      <c r="CV54" s="95"/>
      <c r="CW54" s="95"/>
      <c r="CX54" s="95"/>
      <c r="CY54" s="95"/>
      <c r="CZ54" s="95"/>
      <c r="DA54" s="95"/>
      <c r="DB54" s="95"/>
      <c r="DC54" s="95"/>
      <c r="DD54" s="95"/>
      <c r="DE54" s="95"/>
      <c r="DF54" s="95"/>
      <c r="DG54" s="95"/>
      <c r="DH54" s="95"/>
      <c r="DI54" s="95"/>
      <c r="DJ54" s="95"/>
      <c r="DK54" s="95"/>
      <c r="DL54" s="95"/>
      <c r="DM54" s="95"/>
      <c r="DN54" s="95"/>
      <c r="DO54" s="95"/>
      <c r="DP54" s="95"/>
      <c r="DQ54" s="95"/>
      <c r="DR54" s="95"/>
      <c r="DS54" s="95"/>
      <c r="DT54" s="95"/>
      <c r="DU54" s="95"/>
      <c r="DV54" s="95"/>
      <c r="DW54" s="95"/>
      <c r="DX54" s="95"/>
      <c r="DY54" s="95"/>
      <c r="DZ54" s="95"/>
      <c r="EA54" s="95"/>
      <c r="EB54" s="95"/>
      <c r="EC54" s="95"/>
      <c r="ED54" s="95"/>
      <c r="EE54" s="95"/>
      <c r="EF54" s="95"/>
      <c r="EG54" s="95"/>
      <c r="EH54" s="95"/>
      <c r="EI54" s="95"/>
      <c r="EJ54" s="95"/>
      <c r="EK54" s="95"/>
      <c r="EL54" s="95"/>
      <c r="EM54" s="95"/>
      <c r="EN54" s="95"/>
      <c r="EO54" s="95"/>
      <c r="EP54" s="95"/>
      <c r="EQ54" s="95"/>
      <c r="ER54" s="95"/>
      <c r="ES54" s="95"/>
      <c r="ET54" s="95"/>
      <c r="EU54" s="95"/>
      <c r="EV54" s="95"/>
      <c r="EW54" s="95"/>
      <c r="EX54" s="95"/>
      <c r="EY54" s="95"/>
      <c r="EZ54" s="95"/>
      <c r="FA54" s="95"/>
      <c r="FB54" s="95"/>
      <c r="FC54" s="95"/>
      <c r="FD54" s="95"/>
      <c r="FE54" s="95"/>
      <c r="FF54" s="95"/>
      <c r="FG54" s="95"/>
      <c r="FH54" s="95"/>
      <c r="FI54" s="95"/>
      <c r="FJ54" s="95"/>
      <c r="FK54" s="95"/>
      <c r="FL54" s="95"/>
      <c r="FM54" s="95"/>
      <c r="FN54" s="95"/>
      <c r="FO54" s="95"/>
      <c r="FP54" s="95"/>
      <c r="FQ54" s="95"/>
      <c r="FR54" s="95"/>
      <c r="FS54" s="95"/>
      <c r="FT54" s="95"/>
      <c r="FU54" s="95"/>
      <c r="FV54" s="95"/>
      <c r="FW54" s="95"/>
      <c r="FX54" s="95"/>
      <c r="FY54" s="95"/>
      <c r="FZ54" s="95"/>
      <c r="GA54" s="95"/>
      <c r="GB54" s="95"/>
      <c r="GC54" s="95"/>
      <c r="GD54" s="95"/>
      <c r="GE54" s="95"/>
      <c r="GF54" s="95"/>
      <c r="GG54" s="95"/>
      <c r="GH54" s="95"/>
      <c r="GI54" s="95"/>
      <c r="GJ54" s="95"/>
      <c r="GK54" s="95"/>
      <c r="GL54" s="95"/>
      <c r="GM54" s="95"/>
      <c r="GN54" s="95"/>
      <c r="GO54" s="95"/>
      <c r="GP54" s="95"/>
      <c r="GQ54" s="95"/>
      <c r="GR54" s="95"/>
      <c r="GS54" s="95"/>
      <c r="GT54" s="95"/>
      <c r="GU54" s="95"/>
      <c r="GV54" s="95"/>
      <c r="GW54" s="95"/>
      <c r="GX54" s="95"/>
      <c r="GY54" s="95"/>
      <c r="GZ54" s="95"/>
      <c r="HA54" s="95"/>
      <c r="HB54" s="95"/>
      <c r="HC54" s="95"/>
      <c r="HD54" s="95"/>
      <c r="HE54" s="95"/>
      <c r="HF54" s="95"/>
      <c r="HG54" s="95"/>
      <c r="HH54" s="95"/>
      <c r="HI54" s="95"/>
      <c r="HJ54" s="95"/>
      <c r="HK54" s="95"/>
      <c r="HL54" s="95"/>
      <c r="HM54" s="95"/>
      <c r="HN54" s="95"/>
      <c r="HO54" s="95"/>
      <c r="HP54" s="95"/>
      <c r="HQ54" s="95"/>
      <c r="HR54" s="95"/>
      <c r="HS54" s="95"/>
      <c r="HT54" s="95"/>
      <c r="HU54" s="95"/>
      <c r="HV54" s="95"/>
      <c r="HW54" s="95"/>
      <c r="HX54" s="95"/>
      <c r="HY54" s="95"/>
      <c r="HZ54" s="95"/>
      <c r="IA54" s="95"/>
      <c r="IB54" s="95"/>
      <c r="IC54" s="95"/>
      <c r="ID54" s="95"/>
      <c r="IE54" s="95"/>
      <c r="IF54" s="95"/>
      <c r="IG54" s="95"/>
      <c r="IH54" s="95"/>
      <c r="II54" s="95"/>
      <c r="IJ54" s="95"/>
      <c r="IK54" s="95"/>
      <c r="IL54" s="95"/>
      <c r="IM54" s="95"/>
      <c r="IN54" s="95"/>
      <c r="IO54" s="95"/>
      <c r="IP54" s="95"/>
      <c r="IQ54" s="95"/>
      <c r="IR54" s="95"/>
    </row>
    <row r="55" spans="1:252" ht="15.6" x14ac:dyDescent="0.3">
      <c r="A55" s="103" t="s">
        <v>160</v>
      </c>
      <c r="B55" s="104" t="s">
        <v>62</v>
      </c>
      <c r="C55" s="104" t="s">
        <v>77</v>
      </c>
      <c r="D55" s="105" t="s">
        <v>170</v>
      </c>
      <c r="E55" s="99">
        <v>66.8</v>
      </c>
      <c r="F55" s="100">
        <v>21.28</v>
      </c>
      <c r="G55" s="101">
        <f>($B$36*F55)/$K$19</f>
        <v>6.7667260239124907E-3</v>
      </c>
      <c r="H55" s="100">
        <v>41.82</v>
      </c>
      <c r="I55" s="101">
        <f>($B$36*H55)/$K$19</f>
        <v>1.329814296616637E-2</v>
      </c>
      <c r="J55" s="100">
        <v>16.79</v>
      </c>
      <c r="K55" s="101">
        <f>($B$36*J55)/$K$19</f>
        <v>5.3389722716865934E-3</v>
      </c>
      <c r="L55" s="100">
        <v>211.52</v>
      </c>
      <c r="M55" s="101">
        <f>($B$36*L55)/$K$19</f>
        <v>6.7260239124904614E-2</v>
      </c>
      <c r="N55" s="102">
        <v>0.99</v>
      </c>
      <c r="O55" s="101">
        <f>($B$36*N55)/$K$19</f>
        <v>3.1480539302976344E-4</v>
      </c>
      <c r="P55" s="95"/>
      <c r="Q55" s="95"/>
      <c r="R55" s="103" t="s">
        <v>160</v>
      </c>
      <c r="S55" s="104" t="s">
        <v>62</v>
      </c>
      <c r="T55" s="104" t="s">
        <v>77</v>
      </c>
      <c r="U55" s="105" t="s">
        <v>170</v>
      </c>
      <c r="V55" s="99">
        <v>66.8</v>
      </c>
      <c r="W55" s="100">
        <v>21.28</v>
      </c>
      <c r="X55" s="101">
        <f>($T$37*W55)/$S$41</f>
        <v>6.7667260239124916E-3</v>
      </c>
      <c r="Y55" s="100">
        <v>41.82</v>
      </c>
      <c r="Z55" s="101">
        <f>($T$37*Y55)/$S$41</f>
        <v>1.329814296616637E-2</v>
      </c>
      <c r="AA55" s="100">
        <v>16.79</v>
      </c>
      <c r="AB55" s="101">
        <f>($T$37*AA55)/$S$41</f>
        <v>5.3389722716865934E-3</v>
      </c>
      <c r="AC55" s="100">
        <v>211.52</v>
      </c>
      <c r="AD55" s="101">
        <f>($T$37*AC55)/$S$41</f>
        <v>6.72602391249046E-2</v>
      </c>
      <c r="AE55" s="102">
        <v>0.99</v>
      </c>
      <c r="AF55" s="101">
        <f>($T$37*AE55)/$S$41</f>
        <v>3.1480539302976344E-4</v>
      </c>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5"/>
      <c r="CF55" s="95"/>
      <c r="CG55" s="95"/>
      <c r="CH55" s="95"/>
      <c r="CI55" s="95"/>
      <c r="CJ55" s="95"/>
      <c r="CK55" s="95"/>
      <c r="CL55" s="95"/>
      <c r="CM55" s="95"/>
      <c r="CN55" s="95"/>
      <c r="CO55" s="95"/>
      <c r="CP55" s="95"/>
      <c r="CQ55" s="95"/>
      <c r="CR55" s="95"/>
      <c r="CS55" s="95"/>
      <c r="CT55" s="95"/>
      <c r="CU55" s="95"/>
      <c r="CV55" s="95"/>
      <c r="CW55" s="95"/>
      <c r="CX55" s="95"/>
      <c r="CY55" s="95"/>
      <c r="CZ55" s="95"/>
      <c r="DA55" s="95"/>
      <c r="DB55" s="95"/>
      <c r="DC55" s="95"/>
      <c r="DD55" s="95"/>
      <c r="DE55" s="95"/>
      <c r="DF55" s="95"/>
      <c r="DG55" s="95"/>
      <c r="DH55" s="95"/>
      <c r="DI55" s="95"/>
      <c r="DJ55" s="95"/>
      <c r="DK55" s="95"/>
      <c r="DL55" s="95"/>
      <c r="DM55" s="95"/>
      <c r="DN55" s="95"/>
      <c r="DO55" s="95"/>
      <c r="DP55" s="95"/>
      <c r="DQ55" s="95"/>
      <c r="DR55" s="95"/>
      <c r="DS55" s="95"/>
      <c r="DT55" s="95"/>
      <c r="DU55" s="95"/>
      <c r="DV55" s="95"/>
      <c r="DW55" s="95"/>
      <c r="DX55" s="95"/>
      <c r="DY55" s="95"/>
      <c r="DZ55" s="95"/>
      <c r="EA55" s="95"/>
      <c r="EB55" s="95"/>
      <c r="EC55" s="95"/>
      <c r="ED55" s="95"/>
      <c r="EE55" s="95"/>
      <c r="EF55" s="95"/>
      <c r="EG55" s="95"/>
      <c r="EH55" s="95"/>
      <c r="EI55" s="95"/>
      <c r="EJ55" s="95"/>
      <c r="EK55" s="95"/>
      <c r="EL55" s="95"/>
      <c r="EM55" s="95"/>
      <c r="EN55" s="95"/>
      <c r="EO55" s="95"/>
      <c r="EP55" s="95"/>
      <c r="EQ55" s="95"/>
      <c r="ER55" s="95"/>
      <c r="ES55" s="95"/>
      <c r="ET55" s="95"/>
      <c r="EU55" s="95"/>
      <c r="EV55" s="95"/>
      <c r="EW55" s="95"/>
      <c r="EX55" s="95"/>
      <c r="EY55" s="95"/>
      <c r="EZ55" s="95"/>
      <c r="FA55" s="95"/>
      <c r="FB55" s="95"/>
      <c r="FC55" s="95"/>
      <c r="FD55" s="95"/>
      <c r="FE55" s="95"/>
      <c r="FF55" s="95"/>
      <c r="FG55" s="95"/>
      <c r="FH55" s="95"/>
      <c r="FI55" s="95"/>
      <c r="FJ55" s="95"/>
      <c r="FK55" s="95"/>
      <c r="FL55" s="95"/>
      <c r="FM55" s="95"/>
      <c r="FN55" s="95"/>
      <c r="FO55" s="95"/>
      <c r="FP55" s="95"/>
      <c r="FQ55" s="95"/>
      <c r="FR55" s="95"/>
      <c r="FS55" s="95"/>
      <c r="FT55" s="95"/>
      <c r="FU55" s="95"/>
      <c r="FV55" s="95"/>
      <c r="FW55" s="95"/>
      <c r="FX55" s="95"/>
      <c r="FY55" s="95"/>
      <c r="FZ55" s="95"/>
      <c r="GA55" s="95"/>
      <c r="GB55" s="95"/>
      <c r="GC55" s="95"/>
      <c r="GD55" s="95"/>
      <c r="GE55" s="95"/>
      <c r="GF55" s="95"/>
      <c r="GG55" s="95"/>
      <c r="GH55" s="95"/>
      <c r="GI55" s="95"/>
      <c r="GJ55" s="95"/>
      <c r="GK55" s="95"/>
      <c r="GL55" s="95"/>
      <c r="GM55" s="95"/>
      <c r="GN55" s="95"/>
      <c r="GO55" s="95"/>
      <c r="GP55" s="95"/>
      <c r="GQ55" s="95"/>
      <c r="GR55" s="95"/>
      <c r="GS55" s="95"/>
      <c r="GT55" s="95"/>
      <c r="GU55" s="95"/>
      <c r="GV55" s="95"/>
      <c r="GW55" s="95"/>
      <c r="GX55" s="95"/>
      <c r="GY55" s="95"/>
      <c r="GZ55" s="95"/>
      <c r="HA55" s="95"/>
      <c r="HB55" s="95"/>
      <c r="HC55" s="95"/>
      <c r="HD55" s="95"/>
      <c r="HE55" s="95"/>
      <c r="HF55" s="95"/>
      <c r="HG55" s="95"/>
      <c r="HH55" s="95"/>
      <c r="HI55" s="95"/>
      <c r="HJ55" s="95"/>
      <c r="HK55" s="95"/>
      <c r="HL55" s="95"/>
      <c r="HM55" s="95"/>
      <c r="HN55" s="95"/>
      <c r="HO55" s="95"/>
      <c r="HP55" s="95"/>
      <c r="HQ55" s="95"/>
      <c r="HR55" s="95"/>
      <c r="HS55" s="95"/>
      <c r="HT55" s="95"/>
      <c r="HU55" s="95"/>
      <c r="HV55" s="95"/>
      <c r="HW55" s="95"/>
      <c r="HX55" s="95"/>
      <c r="HY55" s="95"/>
      <c r="HZ55" s="95"/>
      <c r="IA55" s="95"/>
      <c r="IB55" s="95"/>
      <c r="IC55" s="95"/>
      <c r="ID55" s="95"/>
      <c r="IE55" s="95"/>
      <c r="IF55" s="95"/>
      <c r="IG55" s="95"/>
      <c r="IH55" s="95"/>
      <c r="II55" s="95"/>
      <c r="IJ55" s="95"/>
      <c r="IK55" s="95"/>
      <c r="IL55" s="95"/>
      <c r="IM55" s="95"/>
      <c r="IN55" s="95"/>
      <c r="IO55" s="95"/>
      <c r="IP55" s="95"/>
      <c r="IQ55" s="95"/>
      <c r="IR55" s="95"/>
    </row>
    <row r="56" spans="1:252" ht="15.6" x14ac:dyDescent="0.3">
      <c r="A56" s="103" t="s">
        <v>160</v>
      </c>
      <c r="B56" s="104" t="s">
        <v>62</v>
      </c>
      <c r="C56" s="104" t="s">
        <v>79</v>
      </c>
      <c r="D56" s="105" t="s">
        <v>171</v>
      </c>
      <c r="E56" s="99">
        <v>66.8</v>
      </c>
      <c r="F56" s="100">
        <v>21.28</v>
      </c>
      <c r="G56" s="101">
        <f>($B$37*F56)/$K$19</f>
        <v>0</v>
      </c>
      <c r="H56" s="100">
        <v>41.82</v>
      </c>
      <c r="I56" s="101">
        <f>($B$37*H56)/$K$19</f>
        <v>0</v>
      </c>
      <c r="J56" s="100">
        <v>16.79</v>
      </c>
      <c r="K56" s="101">
        <f>($B$37*J56)/$K$19</f>
        <v>0</v>
      </c>
      <c r="L56" s="100">
        <v>211.52</v>
      </c>
      <c r="M56" s="101">
        <f>($B$37*L56)/$K$19</f>
        <v>0</v>
      </c>
      <c r="N56" s="102">
        <v>0.99</v>
      </c>
      <c r="O56" s="101">
        <f>($B$37*N56)/$K$19</f>
        <v>0</v>
      </c>
      <c r="P56" s="95"/>
      <c r="Q56" s="95"/>
      <c r="R56" s="103" t="s">
        <v>160</v>
      </c>
      <c r="S56" s="104" t="s">
        <v>62</v>
      </c>
      <c r="T56" s="104" t="s">
        <v>79</v>
      </c>
      <c r="U56" s="105" t="s">
        <v>171</v>
      </c>
      <c r="V56" s="99">
        <v>66.8</v>
      </c>
      <c r="W56" s="100">
        <v>21.28</v>
      </c>
      <c r="X56" s="101">
        <f>($T$38*W56/$S$41)</f>
        <v>0</v>
      </c>
      <c r="Y56" s="100">
        <v>41.82</v>
      </c>
      <c r="Z56" s="101">
        <f>($T$38*Y56/$S$41)</f>
        <v>0</v>
      </c>
      <c r="AA56" s="100">
        <v>16.79</v>
      </c>
      <c r="AB56" s="101">
        <f>($T$38*AA56/$S$41)</f>
        <v>0</v>
      </c>
      <c r="AC56" s="100">
        <v>211.52</v>
      </c>
      <c r="AD56" s="101">
        <f>($T$38*AC56/$S$41)</f>
        <v>0</v>
      </c>
      <c r="AE56" s="102">
        <v>0.99</v>
      </c>
      <c r="AF56" s="101">
        <f>($T$38*AE56/$S$41)</f>
        <v>0</v>
      </c>
      <c r="AG56" s="95"/>
      <c r="AH56" s="95"/>
      <c r="AI56" s="95"/>
      <c r="AJ56" s="95"/>
      <c r="AK56" s="95"/>
      <c r="AL56" s="95"/>
      <c r="AM56" s="95"/>
      <c r="AN56" s="95"/>
      <c r="AO56" s="95"/>
      <c r="AP56" s="95"/>
      <c r="AQ56" s="95"/>
      <c r="AR56" s="95"/>
      <c r="AS56" s="95"/>
      <c r="AT56" s="95"/>
      <c r="AU56" s="95"/>
      <c r="AV56" s="95"/>
      <c r="AW56" s="95"/>
      <c r="AX56" s="95"/>
      <c r="AY56" s="95"/>
      <c r="AZ56" s="95"/>
      <c r="BA56" s="95"/>
      <c r="BB56" s="95"/>
      <c r="BC56" s="95"/>
      <c r="BD56" s="95"/>
      <c r="BE56" s="95"/>
      <c r="BF56" s="95"/>
      <c r="BG56" s="95"/>
      <c r="BH56" s="95"/>
      <c r="BI56" s="95"/>
      <c r="BJ56" s="95"/>
      <c r="BK56" s="95"/>
      <c r="BL56" s="95"/>
      <c r="BM56" s="95"/>
      <c r="BN56" s="95"/>
      <c r="BO56" s="95"/>
      <c r="BP56" s="95"/>
      <c r="BQ56" s="95"/>
      <c r="BR56" s="95"/>
      <c r="BS56" s="95"/>
      <c r="BT56" s="95"/>
      <c r="BU56" s="95"/>
      <c r="BV56" s="95"/>
      <c r="BW56" s="95"/>
      <c r="BX56" s="95"/>
      <c r="BY56" s="95"/>
      <c r="BZ56" s="95"/>
      <c r="CA56" s="95"/>
      <c r="CB56" s="95"/>
      <c r="CC56" s="95"/>
      <c r="CD56" s="95"/>
      <c r="CE56" s="95"/>
      <c r="CF56" s="95"/>
      <c r="CG56" s="95"/>
      <c r="CH56" s="95"/>
      <c r="CI56" s="95"/>
      <c r="CJ56" s="95"/>
      <c r="CK56" s="95"/>
      <c r="CL56" s="95"/>
      <c r="CM56" s="95"/>
      <c r="CN56" s="95"/>
      <c r="CO56" s="95"/>
      <c r="CP56" s="95"/>
      <c r="CQ56" s="95"/>
      <c r="CR56" s="95"/>
      <c r="CS56" s="95"/>
      <c r="CT56" s="95"/>
      <c r="CU56" s="95"/>
      <c r="CV56" s="95"/>
      <c r="CW56" s="95"/>
      <c r="CX56" s="95"/>
      <c r="CY56" s="95"/>
      <c r="CZ56" s="95"/>
      <c r="DA56" s="95"/>
      <c r="DB56" s="95"/>
      <c r="DC56" s="95"/>
      <c r="DD56" s="95"/>
      <c r="DE56" s="95"/>
      <c r="DF56" s="95"/>
      <c r="DG56" s="95"/>
      <c r="DH56" s="95"/>
      <c r="DI56" s="95"/>
      <c r="DJ56" s="95"/>
      <c r="DK56" s="95"/>
      <c r="DL56" s="95"/>
      <c r="DM56" s="95"/>
      <c r="DN56" s="95"/>
      <c r="DO56" s="95"/>
      <c r="DP56" s="95"/>
      <c r="DQ56" s="95"/>
      <c r="DR56" s="95"/>
      <c r="DS56" s="95"/>
      <c r="DT56" s="95"/>
      <c r="DU56" s="95"/>
      <c r="DV56" s="95"/>
      <c r="DW56" s="95"/>
      <c r="DX56" s="95"/>
      <c r="DY56" s="95"/>
      <c r="DZ56" s="95"/>
      <c r="EA56" s="95"/>
      <c r="EB56" s="95"/>
      <c r="EC56" s="95"/>
      <c r="ED56" s="95"/>
      <c r="EE56" s="95"/>
      <c r="EF56" s="95"/>
      <c r="EG56" s="95"/>
      <c r="EH56" s="95"/>
      <c r="EI56" s="95"/>
      <c r="EJ56" s="95"/>
      <c r="EK56" s="95"/>
      <c r="EL56" s="95"/>
      <c r="EM56" s="95"/>
      <c r="EN56" s="95"/>
      <c r="EO56" s="95"/>
      <c r="EP56" s="95"/>
      <c r="EQ56" s="95"/>
      <c r="ER56" s="95"/>
      <c r="ES56" s="95"/>
      <c r="ET56" s="95"/>
      <c r="EU56" s="95"/>
      <c r="EV56" s="95"/>
      <c r="EW56" s="95"/>
      <c r="EX56" s="95"/>
      <c r="EY56" s="95"/>
      <c r="EZ56" s="95"/>
      <c r="FA56" s="95"/>
      <c r="FB56" s="95"/>
      <c r="FC56" s="95"/>
      <c r="FD56" s="95"/>
      <c r="FE56" s="95"/>
      <c r="FF56" s="95"/>
      <c r="FG56" s="95"/>
      <c r="FH56" s="95"/>
      <c r="FI56" s="95"/>
      <c r="FJ56" s="95"/>
      <c r="FK56" s="95"/>
      <c r="FL56" s="95"/>
      <c r="FM56" s="95"/>
      <c r="FN56" s="95"/>
      <c r="FO56" s="95"/>
      <c r="FP56" s="95"/>
      <c r="FQ56" s="95"/>
      <c r="FR56" s="95"/>
      <c r="FS56" s="95"/>
      <c r="FT56" s="95"/>
      <c r="FU56" s="95"/>
      <c r="FV56" s="95"/>
      <c r="FW56" s="95"/>
      <c r="FX56" s="95"/>
      <c r="FY56" s="95"/>
      <c r="FZ56" s="95"/>
      <c r="GA56" s="95"/>
      <c r="GB56" s="95"/>
      <c r="GC56" s="95"/>
      <c r="GD56" s="95"/>
      <c r="GE56" s="95"/>
      <c r="GF56" s="95"/>
      <c r="GG56" s="95"/>
      <c r="GH56" s="95"/>
      <c r="GI56" s="95"/>
      <c r="GJ56" s="95"/>
      <c r="GK56" s="95"/>
      <c r="GL56" s="95"/>
      <c r="GM56" s="95"/>
      <c r="GN56" s="95"/>
      <c r="GO56" s="95"/>
      <c r="GP56" s="95"/>
      <c r="GQ56" s="95"/>
      <c r="GR56" s="95"/>
      <c r="GS56" s="95"/>
      <c r="GT56" s="95"/>
      <c r="GU56" s="95"/>
      <c r="GV56" s="95"/>
      <c r="GW56" s="95"/>
      <c r="GX56" s="95"/>
      <c r="GY56" s="95"/>
      <c r="GZ56" s="95"/>
      <c r="HA56" s="95"/>
      <c r="HB56" s="95"/>
      <c r="HC56" s="95"/>
      <c r="HD56" s="95"/>
      <c r="HE56" s="95"/>
      <c r="HF56" s="95"/>
      <c r="HG56" s="95"/>
      <c r="HH56" s="95"/>
      <c r="HI56" s="95"/>
      <c r="HJ56" s="95"/>
      <c r="HK56" s="95"/>
      <c r="HL56" s="95"/>
      <c r="HM56" s="95"/>
      <c r="HN56" s="95"/>
      <c r="HO56" s="95"/>
      <c r="HP56" s="95"/>
      <c r="HQ56" s="95"/>
      <c r="HR56" s="95"/>
      <c r="HS56" s="95"/>
      <c r="HT56" s="95"/>
      <c r="HU56" s="95"/>
      <c r="HV56" s="95"/>
      <c r="HW56" s="95"/>
      <c r="HX56" s="95"/>
      <c r="HY56" s="95"/>
      <c r="HZ56" s="95"/>
      <c r="IA56" s="95"/>
      <c r="IB56" s="95"/>
      <c r="IC56" s="95"/>
      <c r="ID56" s="95"/>
      <c r="IE56" s="95"/>
      <c r="IF56" s="95"/>
      <c r="IG56" s="95"/>
      <c r="IH56" s="95"/>
      <c r="II56" s="95"/>
      <c r="IJ56" s="95"/>
      <c r="IK56" s="95"/>
      <c r="IL56" s="95"/>
      <c r="IM56" s="95"/>
      <c r="IN56" s="95"/>
      <c r="IO56" s="95"/>
      <c r="IP56" s="95"/>
      <c r="IQ56" s="95"/>
      <c r="IR56" s="95"/>
    </row>
    <row r="57" spans="1:252" ht="15.6" x14ac:dyDescent="0.3">
      <c r="A57" s="103" t="s">
        <v>160</v>
      </c>
      <c r="B57" s="104" t="s">
        <v>81</v>
      </c>
      <c r="C57" s="104" t="s">
        <v>82</v>
      </c>
      <c r="D57" s="105" t="s">
        <v>161</v>
      </c>
      <c r="E57" s="99">
        <v>91.6</v>
      </c>
      <c r="F57" s="100">
        <v>1890.63</v>
      </c>
      <c r="G57" s="101">
        <f>(($F$25+$F$39)*F57)/$K$19</f>
        <v>105.32891630628339</v>
      </c>
      <c r="H57" s="100">
        <v>355.62</v>
      </c>
      <c r="I57" s="101">
        <f>(($F$25+$F$39)*H57)/$K$19</f>
        <v>19.811951157466293</v>
      </c>
      <c r="J57" s="100">
        <v>16.41</v>
      </c>
      <c r="K57" s="101">
        <f>(($F$25+$F$39)*J57)/$K$19</f>
        <v>0.9142177562961078</v>
      </c>
      <c r="L57" s="100">
        <v>271.16000000000003</v>
      </c>
      <c r="M57" s="101">
        <f>(($F$25+$F$39)*L57)/$K$19</f>
        <v>15.106598829814299</v>
      </c>
      <c r="N57" s="102">
        <v>0</v>
      </c>
      <c r="O57" s="101">
        <f>(($F$25+$F$39)*N57)/$K$19</f>
        <v>0</v>
      </c>
      <c r="P57" s="95"/>
      <c r="Q57" s="95"/>
      <c r="R57" s="103" t="s">
        <v>160</v>
      </c>
      <c r="S57" s="104" t="s">
        <v>81</v>
      </c>
      <c r="T57" s="104" t="s">
        <v>82</v>
      </c>
      <c r="U57" s="105" t="s">
        <v>161</v>
      </c>
      <c r="V57" s="99">
        <v>91.6</v>
      </c>
      <c r="W57" s="100">
        <v>1890.63</v>
      </c>
      <c r="X57" s="101">
        <f>(($W$26)*W57)/$S$41</f>
        <v>105.32891630628339</v>
      </c>
      <c r="Y57" s="100">
        <v>355.62</v>
      </c>
      <c r="Z57" s="101">
        <f>(($W$26)*Y57)/$S$41</f>
        <v>19.811951157466297</v>
      </c>
      <c r="AA57" s="100">
        <v>16.41</v>
      </c>
      <c r="AB57" s="101">
        <f>(($W$26)*AA57)/$S$41</f>
        <v>0.91421775629610791</v>
      </c>
      <c r="AC57" s="100">
        <v>271.16000000000003</v>
      </c>
      <c r="AD57" s="101">
        <f>(($W$26)*AC57)/$S$41</f>
        <v>15.106598829814301</v>
      </c>
      <c r="AE57" s="102">
        <v>0</v>
      </c>
      <c r="AF57" s="101">
        <f>(($W$26)*AE57)/$S$41</f>
        <v>0</v>
      </c>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c r="CA57" s="95"/>
      <c r="CB57" s="95"/>
      <c r="CC57" s="95"/>
      <c r="CD57" s="95"/>
      <c r="CE57" s="95"/>
      <c r="CF57" s="95"/>
      <c r="CG57" s="95"/>
      <c r="CH57" s="95"/>
      <c r="CI57" s="95"/>
      <c r="CJ57" s="95"/>
      <c r="CK57" s="95"/>
      <c r="CL57" s="95"/>
      <c r="CM57" s="95"/>
      <c r="CN57" s="95"/>
      <c r="CO57" s="95"/>
      <c r="CP57" s="95"/>
      <c r="CQ57" s="95"/>
      <c r="CR57" s="95"/>
      <c r="CS57" s="95"/>
      <c r="CT57" s="95"/>
      <c r="CU57" s="95"/>
      <c r="CV57" s="95"/>
      <c r="CW57" s="95"/>
      <c r="CX57" s="95"/>
      <c r="CY57" s="95"/>
      <c r="CZ57" s="95"/>
      <c r="DA57" s="95"/>
      <c r="DB57" s="95"/>
      <c r="DC57" s="95"/>
      <c r="DD57" s="95"/>
      <c r="DE57" s="95"/>
      <c r="DF57" s="95"/>
      <c r="DG57" s="95"/>
      <c r="DH57" s="95"/>
      <c r="DI57" s="95"/>
      <c r="DJ57" s="95"/>
      <c r="DK57" s="95"/>
      <c r="DL57" s="95"/>
      <c r="DM57" s="95"/>
      <c r="DN57" s="95"/>
      <c r="DO57" s="95"/>
      <c r="DP57" s="95"/>
      <c r="DQ57" s="95"/>
      <c r="DR57" s="95"/>
      <c r="DS57" s="95"/>
      <c r="DT57" s="95"/>
      <c r="DU57" s="95"/>
      <c r="DV57" s="95"/>
      <c r="DW57" s="95"/>
      <c r="DX57" s="95"/>
      <c r="DY57" s="95"/>
      <c r="DZ57" s="95"/>
      <c r="EA57" s="95"/>
      <c r="EB57" s="95"/>
      <c r="EC57" s="95"/>
      <c r="ED57" s="95"/>
      <c r="EE57" s="95"/>
      <c r="EF57" s="95"/>
      <c r="EG57" s="95"/>
      <c r="EH57" s="95"/>
      <c r="EI57" s="95"/>
      <c r="EJ57" s="95"/>
      <c r="EK57" s="95"/>
      <c r="EL57" s="95"/>
      <c r="EM57" s="95"/>
      <c r="EN57" s="95"/>
      <c r="EO57" s="95"/>
      <c r="EP57" s="95"/>
      <c r="EQ57" s="95"/>
      <c r="ER57" s="95"/>
      <c r="ES57" s="95"/>
      <c r="ET57" s="95"/>
      <c r="EU57" s="95"/>
      <c r="EV57" s="95"/>
      <c r="EW57" s="95"/>
      <c r="EX57" s="95"/>
      <c r="EY57" s="95"/>
      <c r="EZ57" s="95"/>
      <c r="FA57" s="95"/>
      <c r="FB57" s="95"/>
      <c r="FC57" s="95"/>
      <c r="FD57" s="95"/>
      <c r="FE57" s="95"/>
      <c r="FF57" s="95"/>
      <c r="FG57" s="95"/>
      <c r="FH57" s="95"/>
      <c r="FI57" s="95"/>
      <c r="FJ57" s="95"/>
      <c r="FK57" s="95"/>
      <c r="FL57" s="95"/>
      <c r="FM57" s="95"/>
      <c r="FN57" s="95"/>
      <c r="FO57" s="95"/>
      <c r="FP57" s="95"/>
      <c r="FQ57" s="95"/>
      <c r="FR57" s="95"/>
      <c r="FS57" s="95"/>
      <c r="FT57" s="95"/>
      <c r="FU57" s="95"/>
      <c r="FV57" s="95"/>
      <c r="FW57" s="95"/>
      <c r="FX57" s="95"/>
      <c r="FY57" s="95"/>
      <c r="FZ57" s="95"/>
      <c r="GA57" s="95"/>
      <c r="GB57" s="95"/>
      <c r="GC57" s="95"/>
      <c r="GD57" s="95"/>
      <c r="GE57" s="95"/>
      <c r="GF57" s="95"/>
      <c r="GG57" s="95"/>
      <c r="GH57" s="95"/>
      <c r="GI57" s="95"/>
      <c r="GJ57" s="95"/>
      <c r="GK57" s="95"/>
      <c r="GL57" s="95"/>
      <c r="GM57" s="95"/>
      <c r="GN57" s="95"/>
      <c r="GO57" s="95"/>
      <c r="GP57" s="95"/>
      <c r="GQ57" s="95"/>
      <c r="GR57" s="95"/>
      <c r="GS57" s="95"/>
      <c r="GT57" s="95"/>
      <c r="GU57" s="95"/>
      <c r="GV57" s="95"/>
      <c r="GW57" s="95"/>
      <c r="GX57" s="95"/>
      <c r="GY57" s="95"/>
      <c r="GZ57" s="95"/>
      <c r="HA57" s="95"/>
      <c r="HB57" s="95"/>
      <c r="HC57" s="95"/>
      <c r="HD57" s="95"/>
      <c r="HE57" s="95"/>
      <c r="HF57" s="95"/>
      <c r="HG57" s="95"/>
      <c r="HH57" s="95"/>
      <c r="HI57" s="95"/>
      <c r="HJ57" s="95"/>
      <c r="HK57" s="95"/>
      <c r="HL57" s="95"/>
      <c r="HM57" s="95"/>
      <c r="HN57" s="95"/>
      <c r="HO57" s="95"/>
      <c r="HP57" s="95"/>
      <c r="HQ57" s="95"/>
      <c r="HR57" s="95"/>
      <c r="HS57" s="95"/>
      <c r="HT57" s="95"/>
      <c r="HU57" s="95"/>
      <c r="HV57" s="95"/>
      <c r="HW57" s="95"/>
      <c r="HX57" s="95"/>
      <c r="HY57" s="95"/>
      <c r="HZ57" s="95"/>
      <c r="IA57" s="95"/>
      <c r="IB57" s="95"/>
      <c r="IC57" s="95"/>
      <c r="ID57" s="95"/>
      <c r="IE57" s="95"/>
      <c r="IF57" s="95"/>
      <c r="IG57" s="95"/>
      <c r="IH57" s="95"/>
      <c r="II57" s="95"/>
      <c r="IJ57" s="95"/>
      <c r="IK57" s="95"/>
      <c r="IL57" s="95"/>
      <c r="IM57" s="95"/>
      <c r="IN57" s="95"/>
      <c r="IO57" s="95"/>
      <c r="IP57" s="95"/>
      <c r="IQ57" s="95"/>
      <c r="IR57" s="95"/>
    </row>
    <row r="58" spans="1:252" ht="15.6" x14ac:dyDescent="0.3">
      <c r="A58" s="103" t="s">
        <v>160</v>
      </c>
      <c r="B58" s="104" t="s">
        <v>81</v>
      </c>
      <c r="C58" s="104" t="s">
        <v>162</v>
      </c>
      <c r="D58" s="105" t="s">
        <v>163</v>
      </c>
      <c r="E58" s="99">
        <v>82.23</v>
      </c>
      <c r="F58" s="100">
        <v>1281.97</v>
      </c>
      <c r="G58" s="101">
        <f>($F$26*F58)/$K$19</f>
        <v>38.400398753497839</v>
      </c>
      <c r="H58" s="100">
        <v>145.41999999999999</v>
      </c>
      <c r="I58" s="101">
        <f>($F$26*H58)/$K$19</f>
        <v>4.3559412363266343</v>
      </c>
      <c r="J58" s="100">
        <v>10.47</v>
      </c>
      <c r="K58" s="101">
        <f>($F$26*J58)/$K$19</f>
        <v>0.31362058000508775</v>
      </c>
      <c r="L58" s="100">
        <v>243.43</v>
      </c>
      <c r="M58" s="101">
        <f>($F$26*L58)/$K$19</f>
        <v>7.291753370643602</v>
      </c>
      <c r="N58" s="102">
        <v>3.02</v>
      </c>
      <c r="O58" s="101">
        <f>($F$26*N58)/$K$19</f>
        <v>9.0461714576443655E-2</v>
      </c>
      <c r="P58" s="95"/>
      <c r="Q58" s="95"/>
      <c r="R58" s="103" t="s">
        <v>160</v>
      </c>
      <c r="S58" s="104" t="s">
        <v>81</v>
      </c>
      <c r="T58" s="104" t="s">
        <v>162</v>
      </c>
      <c r="U58" s="105" t="s">
        <v>163</v>
      </c>
      <c r="V58" s="99">
        <v>82.23</v>
      </c>
      <c r="W58" s="100">
        <v>1281.97</v>
      </c>
      <c r="X58" s="101">
        <f>($W$27*W58)/$S$41</f>
        <v>38.400398753497839</v>
      </c>
      <c r="Y58" s="100">
        <v>145.41999999999999</v>
      </c>
      <c r="Z58" s="101">
        <f>($W$27*Y58)/$S$41</f>
        <v>4.3559412363266343</v>
      </c>
      <c r="AA58" s="100">
        <v>10.47</v>
      </c>
      <c r="AB58" s="101">
        <f>($W$27*AA58)/$S$41</f>
        <v>0.31362058000508775</v>
      </c>
      <c r="AC58" s="100">
        <v>243.43</v>
      </c>
      <c r="AD58" s="101">
        <f>($W$27*AC58)/$S$41</f>
        <v>7.2917533706436011</v>
      </c>
      <c r="AE58" s="102">
        <v>3.02</v>
      </c>
      <c r="AF58" s="101">
        <f>($W$27*AE58)/$S$41</f>
        <v>9.0461714576443655E-2</v>
      </c>
      <c r="AG58" s="95"/>
      <c r="AH58" s="95"/>
      <c r="AI58" s="95"/>
      <c r="AJ58" s="95"/>
      <c r="AK58" s="95"/>
      <c r="AL58" s="95"/>
      <c r="AM58" s="95"/>
      <c r="AN58" s="95"/>
      <c r="AO58" s="95"/>
      <c r="AP58" s="95"/>
      <c r="AQ58" s="95"/>
      <c r="AR58" s="95"/>
      <c r="AS58" s="95"/>
      <c r="AT58" s="95"/>
      <c r="AU58" s="95"/>
      <c r="AV58" s="95"/>
      <c r="AW58" s="95"/>
      <c r="AX58" s="95"/>
      <c r="AY58" s="95"/>
      <c r="AZ58" s="95"/>
      <c r="BA58" s="95"/>
      <c r="BB58" s="95"/>
      <c r="BC58" s="95"/>
      <c r="BD58" s="95"/>
      <c r="BE58" s="95"/>
      <c r="BF58" s="95"/>
      <c r="BG58" s="95"/>
      <c r="BH58" s="95"/>
      <c r="BI58" s="95"/>
      <c r="BJ58" s="95"/>
      <c r="BK58" s="95"/>
      <c r="BL58" s="95"/>
      <c r="BM58" s="95"/>
      <c r="BN58" s="95"/>
      <c r="BO58" s="95"/>
      <c r="BP58" s="95"/>
      <c r="BQ58" s="95"/>
      <c r="BR58" s="95"/>
      <c r="BS58" s="95"/>
      <c r="BT58" s="95"/>
      <c r="BU58" s="95"/>
      <c r="BV58" s="95"/>
      <c r="BW58" s="95"/>
      <c r="BX58" s="95"/>
      <c r="BY58" s="95"/>
      <c r="BZ58" s="95"/>
      <c r="CA58" s="95"/>
      <c r="CB58" s="95"/>
      <c r="CC58" s="95"/>
      <c r="CD58" s="95"/>
      <c r="CE58" s="95"/>
      <c r="CF58" s="95"/>
      <c r="CG58" s="95"/>
      <c r="CH58" s="95"/>
      <c r="CI58" s="95"/>
      <c r="CJ58" s="95"/>
      <c r="CK58" s="95"/>
      <c r="CL58" s="95"/>
      <c r="CM58" s="95"/>
      <c r="CN58" s="95"/>
      <c r="CO58" s="95"/>
      <c r="CP58" s="95"/>
      <c r="CQ58" s="95"/>
      <c r="CR58" s="95"/>
      <c r="CS58" s="95"/>
      <c r="CT58" s="95"/>
      <c r="CU58" s="95"/>
      <c r="CV58" s="95"/>
      <c r="CW58" s="95"/>
      <c r="CX58" s="95"/>
      <c r="CY58" s="95"/>
      <c r="CZ58" s="95"/>
      <c r="DA58" s="95"/>
      <c r="DB58" s="95"/>
      <c r="DC58" s="95"/>
      <c r="DD58" s="95"/>
      <c r="DE58" s="95"/>
      <c r="DF58" s="95"/>
      <c r="DG58" s="95"/>
      <c r="DH58" s="95"/>
      <c r="DI58" s="95"/>
      <c r="DJ58" s="95"/>
      <c r="DK58" s="95"/>
      <c r="DL58" s="95"/>
      <c r="DM58" s="95"/>
      <c r="DN58" s="95"/>
      <c r="DO58" s="95"/>
      <c r="DP58" s="95"/>
      <c r="DQ58" s="95"/>
      <c r="DR58" s="95"/>
      <c r="DS58" s="95"/>
      <c r="DT58" s="95"/>
      <c r="DU58" s="95"/>
      <c r="DV58" s="95"/>
      <c r="DW58" s="95"/>
      <c r="DX58" s="95"/>
      <c r="DY58" s="95"/>
      <c r="DZ58" s="95"/>
      <c r="EA58" s="95"/>
      <c r="EB58" s="95"/>
      <c r="EC58" s="95"/>
      <c r="ED58" s="95"/>
      <c r="EE58" s="95"/>
      <c r="EF58" s="95"/>
      <c r="EG58" s="95"/>
      <c r="EH58" s="95"/>
      <c r="EI58" s="95"/>
      <c r="EJ58" s="95"/>
      <c r="EK58" s="95"/>
      <c r="EL58" s="95"/>
      <c r="EM58" s="95"/>
      <c r="EN58" s="95"/>
      <c r="EO58" s="95"/>
      <c r="EP58" s="95"/>
      <c r="EQ58" s="95"/>
      <c r="ER58" s="95"/>
      <c r="ES58" s="95"/>
      <c r="ET58" s="95"/>
      <c r="EU58" s="95"/>
      <c r="EV58" s="95"/>
      <c r="EW58" s="95"/>
      <c r="EX58" s="95"/>
      <c r="EY58" s="95"/>
      <c r="EZ58" s="95"/>
      <c r="FA58" s="95"/>
      <c r="FB58" s="95"/>
      <c r="FC58" s="95"/>
      <c r="FD58" s="95"/>
      <c r="FE58" s="95"/>
      <c r="FF58" s="95"/>
      <c r="FG58" s="95"/>
      <c r="FH58" s="95"/>
      <c r="FI58" s="95"/>
      <c r="FJ58" s="95"/>
      <c r="FK58" s="95"/>
      <c r="FL58" s="95"/>
      <c r="FM58" s="95"/>
      <c r="FN58" s="95"/>
      <c r="FO58" s="95"/>
      <c r="FP58" s="95"/>
      <c r="FQ58" s="95"/>
      <c r="FR58" s="95"/>
      <c r="FS58" s="95"/>
      <c r="FT58" s="95"/>
      <c r="FU58" s="95"/>
      <c r="FV58" s="95"/>
      <c r="FW58" s="95"/>
      <c r="FX58" s="95"/>
      <c r="FY58" s="95"/>
      <c r="FZ58" s="95"/>
      <c r="GA58" s="95"/>
      <c r="GB58" s="95"/>
      <c r="GC58" s="95"/>
      <c r="GD58" s="95"/>
      <c r="GE58" s="95"/>
      <c r="GF58" s="95"/>
      <c r="GG58" s="95"/>
      <c r="GH58" s="95"/>
      <c r="GI58" s="95"/>
      <c r="GJ58" s="95"/>
      <c r="GK58" s="95"/>
      <c r="GL58" s="95"/>
      <c r="GM58" s="95"/>
      <c r="GN58" s="95"/>
      <c r="GO58" s="95"/>
      <c r="GP58" s="95"/>
      <c r="GQ58" s="95"/>
      <c r="GR58" s="95"/>
      <c r="GS58" s="95"/>
      <c r="GT58" s="95"/>
      <c r="GU58" s="95"/>
      <c r="GV58" s="95"/>
      <c r="GW58" s="95"/>
      <c r="GX58" s="95"/>
      <c r="GY58" s="95"/>
      <c r="GZ58" s="95"/>
      <c r="HA58" s="95"/>
      <c r="HB58" s="95"/>
      <c r="HC58" s="95"/>
      <c r="HD58" s="95"/>
      <c r="HE58" s="95"/>
      <c r="HF58" s="95"/>
      <c r="HG58" s="95"/>
      <c r="HH58" s="95"/>
      <c r="HI58" s="95"/>
      <c r="HJ58" s="95"/>
      <c r="HK58" s="95"/>
      <c r="HL58" s="95"/>
      <c r="HM58" s="95"/>
      <c r="HN58" s="95"/>
      <c r="HO58" s="95"/>
      <c r="HP58" s="95"/>
      <c r="HQ58" s="95"/>
      <c r="HR58" s="95"/>
      <c r="HS58" s="95"/>
      <c r="HT58" s="95"/>
      <c r="HU58" s="95"/>
      <c r="HV58" s="95"/>
      <c r="HW58" s="95"/>
      <c r="HX58" s="95"/>
      <c r="HY58" s="95"/>
      <c r="HZ58" s="95"/>
      <c r="IA58" s="95"/>
      <c r="IB58" s="95"/>
      <c r="IC58" s="95"/>
      <c r="ID58" s="95"/>
      <c r="IE58" s="95"/>
      <c r="IF58" s="95"/>
      <c r="IG58" s="95"/>
      <c r="IH58" s="95"/>
      <c r="II58" s="95"/>
      <c r="IJ58" s="95"/>
      <c r="IK58" s="95"/>
      <c r="IL58" s="95"/>
      <c r="IM58" s="95"/>
      <c r="IN58" s="95"/>
      <c r="IO58" s="95"/>
      <c r="IP58" s="95"/>
      <c r="IQ58" s="95"/>
      <c r="IR58" s="95"/>
    </row>
    <row r="59" spans="1:252" ht="15.6" x14ac:dyDescent="0.3">
      <c r="A59" s="103" t="s">
        <v>160</v>
      </c>
      <c r="B59" s="104" t="s">
        <v>81</v>
      </c>
      <c r="C59" s="104" t="s">
        <v>164</v>
      </c>
      <c r="D59" s="105" t="s">
        <v>165</v>
      </c>
      <c r="E59" s="99">
        <v>82.23</v>
      </c>
      <c r="F59" s="100">
        <v>1746.42</v>
      </c>
      <c r="G59" s="101">
        <f>($F$27*F59)/$K$19</f>
        <v>125.72802340371408</v>
      </c>
      <c r="H59" s="100">
        <v>145.41999999999999</v>
      </c>
      <c r="I59" s="101">
        <f>($F$27*H59)/$K$19</f>
        <v>10.469056219791399</v>
      </c>
      <c r="J59" s="102">
        <v>4.16</v>
      </c>
      <c r="K59" s="101">
        <f>($F$27*J59)/$K$19</f>
        <v>0.29948613584329686</v>
      </c>
      <c r="L59" s="100">
        <v>243.43</v>
      </c>
      <c r="M59" s="101">
        <f>($F$27*L59)/$K$19</f>
        <v>17.524978377003308</v>
      </c>
      <c r="N59" s="102">
        <v>5.14</v>
      </c>
      <c r="O59" s="101">
        <f>($F$27*N59)/$K$19</f>
        <v>0.37003815822945813</v>
      </c>
      <c r="P59" s="95"/>
      <c r="Q59" s="95"/>
      <c r="R59" s="103" t="s">
        <v>160</v>
      </c>
      <c r="S59" s="104" t="s">
        <v>81</v>
      </c>
      <c r="T59" s="104" t="s">
        <v>164</v>
      </c>
      <c r="U59" s="105" t="s">
        <v>165</v>
      </c>
      <c r="V59" s="99">
        <v>82.23</v>
      </c>
      <c r="W59" s="100">
        <v>1746.42</v>
      </c>
      <c r="X59" s="101">
        <f>($W$28*W59)/$S$41</f>
        <v>125.72802340371406</v>
      </c>
      <c r="Y59" s="100">
        <v>145.41999999999999</v>
      </c>
      <c r="Z59" s="101">
        <f>($W$28*Y59)/$S$41</f>
        <v>10.469056219791399</v>
      </c>
      <c r="AA59" s="102">
        <v>4.16</v>
      </c>
      <c r="AB59" s="101">
        <f>($W$28*AA59)/$S$41</f>
        <v>0.29948613584329686</v>
      </c>
      <c r="AC59" s="100">
        <v>243.43</v>
      </c>
      <c r="AD59" s="101">
        <f>($W$28*AC59)/$S$41</f>
        <v>17.524978377003308</v>
      </c>
      <c r="AE59" s="102">
        <v>5.14</v>
      </c>
      <c r="AF59" s="101">
        <f>($W$28*AE59)/$S$41</f>
        <v>0.37003815822945807</v>
      </c>
      <c r="AG59" s="95"/>
      <c r="AH59" s="95"/>
      <c r="AI59" s="95"/>
      <c r="AJ59" s="95"/>
      <c r="AK59" s="95"/>
      <c r="AL59" s="95"/>
      <c r="AM59" s="95"/>
      <c r="AN59" s="95"/>
      <c r="AO59" s="95"/>
      <c r="AP59" s="95"/>
      <c r="AQ59" s="95"/>
      <c r="AR59" s="95"/>
      <c r="AS59" s="95"/>
      <c r="AT59" s="95"/>
      <c r="AU59" s="95"/>
      <c r="AV59" s="95"/>
      <c r="AW59" s="95"/>
      <c r="AX59" s="95"/>
      <c r="AY59" s="95"/>
      <c r="AZ59" s="95"/>
      <c r="BA59" s="95"/>
      <c r="BB59" s="95"/>
      <c r="BC59" s="95"/>
      <c r="BD59" s="95"/>
      <c r="BE59" s="95"/>
      <c r="BF59" s="95"/>
      <c r="BG59" s="95"/>
      <c r="BH59" s="95"/>
      <c r="BI59" s="95"/>
      <c r="BJ59" s="95"/>
      <c r="BK59" s="95"/>
      <c r="BL59" s="95"/>
      <c r="BM59" s="95"/>
      <c r="BN59" s="95"/>
      <c r="BO59" s="95"/>
      <c r="BP59" s="95"/>
      <c r="BQ59" s="95"/>
      <c r="BR59" s="95"/>
      <c r="BS59" s="95"/>
      <c r="BT59" s="95"/>
      <c r="BU59" s="95"/>
      <c r="BV59" s="95"/>
      <c r="BW59" s="95"/>
      <c r="BX59" s="95"/>
      <c r="BY59" s="95"/>
      <c r="BZ59" s="95"/>
      <c r="CA59" s="95"/>
      <c r="CB59" s="95"/>
      <c r="CC59" s="95"/>
      <c r="CD59" s="95"/>
      <c r="CE59" s="95"/>
      <c r="CF59" s="95"/>
      <c r="CG59" s="95"/>
      <c r="CH59" s="95"/>
      <c r="CI59" s="95"/>
      <c r="CJ59" s="95"/>
      <c r="CK59" s="95"/>
      <c r="CL59" s="95"/>
      <c r="CM59" s="95"/>
      <c r="CN59" s="95"/>
      <c r="CO59" s="95"/>
      <c r="CP59" s="95"/>
      <c r="CQ59" s="95"/>
      <c r="CR59" s="95"/>
      <c r="CS59" s="95"/>
      <c r="CT59" s="95"/>
      <c r="CU59" s="95"/>
      <c r="CV59" s="95"/>
      <c r="CW59" s="95"/>
      <c r="CX59" s="95"/>
      <c r="CY59" s="95"/>
      <c r="CZ59" s="95"/>
      <c r="DA59" s="95"/>
      <c r="DB59" s="95"/>
      <c r="DC59" s="95"/>
      <c r="DD59" s="95"/>
      <c r="DE59" s="95"/>
      <c r="DF59" s="95"/>
      <c r="DG59" s="95"/>
      <c r="DH59" s="95"/>
      <c r="DI59" s="95"/>
      <c r="DJ59" s="95"/>
      <c r="DK59" s="95"/>
      <c r="DL59" s="95"/>
      <c r="DM59" s="95"/>
      <c r="DN59" s="95"/>
      <c r="DO59" s="95"/>
      <c r="DP59" s="95"/>
      <c r="DQ59" s="95"/>
      <c r="DR59" s="95"/>
      <c r="DS59" s="95"/>
      <c r="DT59" s="95"/>
      <c r="DU59" s="95"/>
      <c r="DV59" s="95"/>
      <c r="DW59" s="95"/>
      <c r="DX59" s="95"/>
      <c r="DY59" s="95"/>
      <c r="DZ59" s="95"/>
      <c r="EA59" s="95"/>
      <c r="EB59" s="95"/>
      <c r="EC59" s="95"/>
      <c r="ED59" s="95"/>
      <c r="EE59" s="95"/>
      <c r="EF59" s="95"/>
      <c r="EG59" s="95"/>
      <c r="EH59" s="95"/>
      <c r="EI59" s="95"/>
      <c r="EJ59" s="95"/>
      <c r="EK59" s="95"/>
      <c r="EL59" s="95"/>
      <c r="EM59" s="95"/>
      <c r="EN59" s="95"/>
      <c r="EO59" s="95"/>
      <c r="EP59" s="95"/>
      <c r="EQ59" s="95"/>
      <c r="ER59" s="95"/>
      <c r="ES59" s="95"/>
      <c r="ET59" s="95"/>
      <c r="EU59" s="95"/>
      <c r="EV59" s="95"/>
      <c r="EW59" s="95"/>
      <c r="EX59" s="95"/>
      <c r="EY59" s="95"/>
      <c r="EZ59" s="95"/>
      <c r="FA59" s="95"/>
      <c r="FB59" s="95"/>
      <c r="FC59" s="95"/>
      <c r="FD59" s="95"/>
      <c r="FE59" s="95"/>
      <c r="FF59" s="95"/>
      <c r="FG59" s="95"/>
      <c r="FH59" s="95"/>
      <c r="FI59" s="95"/>
      <c r="FJ59" s="95"/>
      <c r="FK59" s="95"/>
      <c r="FL59" s="95"/>
      <c r="FM59" s="95"/>
      <c r="FN59" s="95"/>
      <c r="FO59" s="95"/>
      <c r="FP59" s="95"/>
      <c r="FQ59" s="95"/>
      <c r="FR59" s="95"/>
      <c r="FS59" s="95"/>
      <c r="FT59" s="95"/>
      <c r="FU59" s="95"/>
      <c r="FV59" s="95"/>
      <c r="FW59" s="95"/>
      <c r="FX59" s="95"/>
      <c r="FY59" s="95"/>
      <c r="FZ59" s="95"/>
      <c r="GA59" s="95"/>
      <c r="GB59" s="95"/>
      <c r="GC59" s="95"/>
      <c r="GD59" s="95"/>
      <c r="GE59" s="95"/>
      <c r="GF59" s="95"/>
      <c r="GG59" s="95"/>
      <c r="GH59" s="95"/>
      <c r="GI59" s="95"/>
      <c r="GJ59" s="95"/>
      <c r="GK59" s="95"/>
      <c r="GL59" s="95"/>
      <c r="GM59" s="95"/>
      <c r="GN59" s="95"/>
      <c r="GO59" s="95"/>
      <c r="GP59" s="95"/>
      <c r="GQ59" s="95"/>
      <c r="GR59" s="95"/>
      <c r="GS59" s="95"/>
      <c r="GT59" s="95"/>
      <c r="GU59" s="95"/>
      <c r="GV59" s="95"/>
      <c r="GW59" s="95"/>
      <c r="GX59" s="95"/>
      <c r="GY59" s="95"/>
      <c r="GZ59" s="95"/>
      <c r="HA59" s="95"/>
      <c r="HB59" s="95"/>
      <c r="HC59" s="95"/>
      <c r="HD59" s="95"/>
      <c r="HE59" s="95"/>
      <c r="HF59" s="95"/>
      <c r="HG59" s="95"/>
      <c r="HH59" s="95"/>
      <c r="HI59" s="95"/>
      <c r="HJ59" s="95"/>
      <c r="HK59" s="95"/>
      <c r="HL59" s="95"/>
      <c r="HM59" s="95"/>
      <c r="HN59" s="95"/>
      <c r="HO59" s="95"/>
      <c r="HP59" s="95"/>
      <c r="HQ59" s="95"/>
      <c r="HR59" s="95"/>
      <c r="HS59" s="95"/>
      <c r="HT59" s="95"/>
      <c r="HU59" s="95"/>
      <c r="HV59" s="95"/>
      <c r="HW59" s="95"/>
      <c r="HX59" s="95"/>
      <c r="HY59" s="95"/>
      <c r="HZ59" s="95"/>
      <c r="IA59" s="95"/>
      <c r="IB59" s="95"/>
      <c r="IC59" s="95"/>
      <c r="ID59" s="95"/>
      <c r="IE59" s="95"/>
      <c r="IF59" s="95"/>
      <c r="IG59" s="95"/>
      <c r="IH59" s="95"/>
      <c r="II59" s="95"/>
      <c r="IJ59" s="95"/>
      <c r="IK59" s="95"/>
      <c r="IL59" s="95"/>
      <c r="IM59" s="95"/>
      <c r="IN59" s="95"/>
      <c r="IO59" s="95"/>
      <c r="IP59" s="95"/>
      <c r="IQ59" s="95"/>
      <c r="IR59" s="95"/>
    </row>
    <row r="60" spans="1:252" ht="15.6" x14ac:dyDescent="0.3">
      <c r="A60" s="103" t="s">
        <v>160</v>
      </c>
      <c r="B60" s="104" t="s">
        <v>81</v>
      </c>
      <c r="C60" s="104" t="s">
        <v>69</v>
      </c>
      <c r="D60" s="105" t="s">
        <v>166</v>
      </c>
      <c r="E60" s="99">
        <v>82.23</v>
      </c>
      <c r="F60" s="100">
        <v>1275.0999999999999</v>
      </c>
      <c r="G60" s="101">
        <f>($F$28*F60)/$K$19</f>
        <v>144.66919358941743</v>
      </c>
      <c r="H60" s="100">
        <v>114.91</v>
      </c>
      <c r="I60" s="101">
        <f>($F$28*H60)/$K$19</f>
        <v>13.037359450521496</v>
      </c>
      <c r="J60" s="102">
        <v>3</v>
      </c>
      <c r="K60" s="101">
        <f>($F$28*J60)/$K$19</f>
        <v>0.340371406766726</v>
      </c>
      <c r="L60" s="100">
        <v>243.43</v>
      </c>
      <c r="M60" s="101">
        <f>($F$28*L60)/$K$19</f>
        <v>27.618870516408037</v>
      </c>
      <c r="N60" s="102">
        <v>7.45</v>
      </c>
      <c r="O60" s="101">
        <f>($F$28*N60)/$K$19</f>
        <v>0.84525566013736975</v>
      </c>
      <c r="P60" s="95"/>
      <c r="Q60" s="95"/>
      <c r="R60" s="103" t="s">
        <v>160</v>
      </c>
      <c r="S60" s="104" t="s">
        <v>81</v>
      </c>
      <c r="T60" s="104" t="s">
        <v>69</v>
      </c>
      <c r="U60" s="105" t="s">
        <v>166</v>
      </c>
      <c r="V60" s="99">
        <v>82.23</v>
      </c>
      <c r="W60" s="100">
        <v>1275.0999999999999</v>
      </c>
      <c r="X60" s="101">
        <f>($W$29*W60)/$S$41</f>
        <v>144.66919358941743</v>
      </c>
      <c r="Y60" s="100">
        <v>114.91</v>
      </c>
      <c r="Z60" s="101">
        <f>($W$29*Y60)/$S$41</f>
        <v>13.037359450521494</v>
      </c>
      <c r="AA60" s="102">
        <v>3</v>
      </c>
      <c r="AB60" s="101">
        <f>($W$29*AA60)/$S$41</f>
        <v>0.340371406766726</v>
      </c>
      <c r="AC60" s="100">
        <v>243.43</v>
      </c>
      <c r="AD60" s="101">
        <f>($W$29*AC60)/$S$41</f>
        <v>27.618870516408037</v>
      </c>
      <c r="AE60" s="102">
        <v>7.45</v>
      </c>
      <c r="AF60" s="101">
        <f>($W$29*AE60)/$S$41</f>
        <v>0.84525566013736964</v>
      </c>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row>
    <row r="61" spans="1:252" ht="15.6" x14ac:dyDescent="0.3">
      <c r="A61" s="103" t="s">
        <v>160</v>
      </c>
      <c r="B61" s="104" t="s">
        <v>81</v>
      </c>
      <c r="C61" s="104" t="s">
        <v>71</v>
      </c>
      <c r="D61" s="105" t="s">
        <v>167</v>
      </c>
      <c r="E61" s="99">
        <v>82.23</v>
      </c>
      <c r="F61" s="100">
        <v>885.86</v>
      </c>
      <c r="G61" s="101">
        <f>($F$29*F61)/$K$19</f>
        <v>118.7606766726024</v>
      </c>
      <c r="H61" s="100">
        <v>85.37</v>
      </c>
      <c r="I61" s="101">
        <f>($F$29*H61)/$K$19</f>
        <v>11.444922411600103</v>
      </c>
      <c r="J61" s="102">
        <v>1.1000000000000001</v>
      </c>
      <c r="K61" s="101">
        <f>($F$29*J61)/$K$19</f>
        <v>0.14746883744594252</v>
      </c>
      <c r="L61" s="100">
        <v>243.43</v>
      </c>
      <c r="M61" s="101">
        <f>($F$29*L61)/$K$19</f>
        <v>32.634853726787078</v>
      </c>
      <c r="N61" s="102">
        <v>7.45</v>
      </c>
      <c r="O61" s="101">
        <f>($F$29*N61)/$K$19</f>
        <v>0.99876621724751968</v>
      </c>
      <c r="P61" s="95"/>
      <c r="Q61" s="95"/>
      <c r="R61" s="103" t="s">
        <v>160</v>
      </c>
      <c r="S61" s="104" t="s">
        <v>81</v>
      </c>
      <c r="T61" s="104" t="s">
        <v>71</v>
      </c>
      <c r="U61" s="105" t="s">
        <v>167</v>
      </c>
      <c r="V61" s="99">
        <v>82.23</v>
      </c>
      <c r="W61" s="100">
        <v>885.86</v>
      </c>
      <c r="X61" s="101">
        <f>($W$30*W61)/$S$41</f>
        <v>118.76067667260239</v>
      </c>
      <c r="Y61" s="100">
        <v>85.37</v>
      </c>
      <c r="Z61" s="101">
        <f>($W$30*Y61)/$S$41</f>
        <v>11.444922411600102</v>
      </c>
      <c r="AA61" s="102">
        <v>1.1000000000000001</v>
      </c>
      <c r="AB61" s="101">
        <f>($W$30*AA61)/$S$41</f>
        <v>0.1474688374459425</v>
      </c>
      <c r="AC61" s="100">
        <v>243.43</v>
      </c>
      <c r="AD61" s="101">
        <f>($W$30*AC61)/$S$41</f>
        <v>32.634853726787078</v>
      </c>
      <c r="AE61" s="102">
        <v>7.45</v>
      </c>
      <c r="AF61" s="101">
        <f>($W$30*AE61)/$S$41</f>
        <v>0.99876621724751957</v>
      </c>
      <c r="AG61" s="95"/>
      <c r="AH61" s="95"/>
      <c r="AI61" s="95"/>
      <c r="AJ61" s="95"/>
      <c r="AK61" s="95"/>
      <c r="AL61" s="95"/>
      <c r="AM61" s="95"/>
      <c r="AN61" s="95"/>
      <c r="AO61" s="95"/>
      <c r="AP61" s="95"/>
      <c r="AQ61" s="95"/>
      <c r="AR61" s="95"/>
      <c r="AS61" s="95"/>
      <c r="AT61" s="95"/>
      <c r="AU61" s="95"/>
      <c r="AV61" s="95"/>
      <c r="AW61" s="95"/>
      <c r="AX61" s="95"/>
      <c r="AY61" s="95"/>
      <c r="AZ61" s="95"/>
      <c r="BA61" s="95"/>
      <c r="BB61" s="95"/>
      <c r="BC61" s="95"/>
      <c r="BD61" s="95"/>
      <c r="BE61" s="95"/>
      <c r="BF61" s="95"/>
      <c r="BG61" s="95"/>
      <c r="BH61" s="95"/>
      <c r="BI61" s="95"/>
      <c r="BJ61" s="95"/>
      <c r="BK61" s="95"/>
      <c r="BL61" s="95"/>
      <c r="BM61" s="95"/>
      <c r="BN61" s="95"/>
      <c r="BO61" s="95"/>
      <c r="BP61" s="95"/>
      <c r="BQ61" s="95"/>
      <c r="BR61" s="95"/>
      <c r="BS61" s="95"/>
      <c r="BT61" s="95"/>
      <c r="BU61" s="95"/>
      <c r="BV61" s="95"/>
      <c r="BW61" s="95"/>
      <c r="BX61" s="95"/>
      <c r="BY61" s="95"/>
      <c r="BZ61" s="95"/>
      <c r="CA61" s="95"/>
      <c r="CB61" s="95"/>
      <c r="CC61" s="95"/>
      <c r="CD61" s="95"/>
      <c r="CE61" s="95"/>
      <c r="CF61" s="95"/>
      <c r="CG61" s="95"/>
      <c r="CH61" s="95"/>
      <c r="CI61" s="95"/>
      <c r="CJ61" s="95"/>
      <c r="CK61" s="95"/>
      <c r="CL61" s="95"/>
      <c r="CM61" s="95"/>
      <c r="CN61" s="95"/>
      <c r="CO61" s="95"/>
      <c r="CP61" s="95"/>
      <c r="CQ61" s="95"/>
      <c r="CR61" s="95"/>
      <c r="CS61" s="95"/>
      <c r="CT61" s="95"/>
      <c r="CU61" s="95"/>
      <c r="CV61" s="95"/>
      <c r="CW61" s="95"/>
      <c r="CX61" s="95"/>
      <c r="CY61" s="95"/>
      <c r="CZ61" s="95"/>
      <c r="DA61" s="95"/>
      <c r="DB61" s="95"/>
      <c r="DC61" s="95"/>
      <c r="DD61" s="95"/>
      <c r="DE61" s="95"/>
      <c r="DF61" s="95"/>
      <c r="DG61" s="95"/>
      <c r="DH61" s="95"/>
      <c r="DI61" s="95"/>
      <c r="DJ61" s="95"/>
      <c r="DK61" s="95"/>
      <c r="DL61" s="95"/>
      <c r="DM61" s="95"/>
      <c r="DN61" s="95"/>
      <c r="DO61" s="95"/>
      <c r="DP61" s="95"/>
      <c r="DQ61" s="95"/>
      <c r="DR61" s="95"/>
      <c r="DS61" s="95"/>
      <c r="DT61" s="95"/>
      <c r="DU61" s="95"/>
      <c r="DV61" s="95"/>
      <c r="DW61" s="95"/>
      <c r="DX61" s="95"/>
      <c r="DY61" s="95"/>
      <c r="DZ61" s="95"/>
      <c r="EA61" s="95"/>
      <c r="EB61" s="95"/>
      <c r="EC61" s="95"/>
      <c r="ED61" s="95"/>
      <c r="EE61" s="95"/>
      <c r="EF61" s="95"/>
      <c r="EG61" s="95"/>
      <c r="EH61" s="95"/>
      <c r="EI61" s="95"/>
      <c r="EJ61" s="95"/>
      <c r="EK61" s="95"/>
      <c r="EL61" s="95"/>
      <c r="EM61" s="95"/>
      <c r="EN61" s="95"/>
      <c r="EO61" s="95"/>
      <c r="EP61" s="95"/>
      <c r="EQ61" s="95"/>
      <c r="ER61" s="95"/>
      <c r="ES61" s="95"/>
      <c r="ET61" s="95"/>
      <c r="EU61" s="95"/>
      <c r="EV61" s="95"/>
      <c r="EW61" s="95"/>
      <c r="EX61" s="95"/>
      <c r="EY61" s="95"/>
      <c r="EZ61" s="95"/>
      <c r="FA61" s="95"/>
      <c r="FB61" s="95"/>
      <c r="FC61" s="95"/>
      <c r="FD61" s="95"/>
      <c r="FE61" s="95"/>
      <c r="FF61" s="95"/>
      <c r="FG61" s="95"/>
      <c r="FH61" s="95"/>
      <c r="FI61" s="95"/>
      <c r="FJ61" s="95"/>
      <c r="FK61" s="95"/>
      <c r="FL61" s="95"/>
      <c r="FM61" s="95"/>
      <c r="FN61" s="95"/>
      <c r="FO61" s="95"/>
      <c r="FP61" s="95"/>
      <c r="FQ61" s="95"/>
      <c r="FR61" s="95"/>
      <c r="FS61" s="95"/>
      <c r="FT61" s="95"/>
      <c r="FU61" s="95"/>
      <c r="FV61" s="95"/>
      <c r="FW61" s="95"/>
      <c r="FX61" s="95"/>
      <c r="FY61" s="95"/>
      <c r="FZ61" s="95"/>
      <c r="GA61" s="95"/>
      <c r="GB61" s="95"/>
      <c r="GC61" s="95"/>
      <c r="GD61" s="95"/>
      <c r="GE61" s="95"/>
      <c r="GF61" s="95"/>
      <c r="GG61" s="95"/>
      <c r="GH61" s="95"/>
      <c r="GI61" s="95"/>
      <c r="GJ61" s="95"/>
      <c r="GK61" s="95"/>
      <c r="GL61" s="95"/>
      <c r="GM61" s="95"/>
      <c r="GN61" s="95"/>
      <c r="GO61" s="95"/>
      <c r="GP61" s="95"/>
      <c r="GQ61" s="95"/>
      <c r="GR61" s="95"/>
      <c r="GS61" s="95"/>
      <c r="GT61" s="95"/>
      <c r="GU61" s="95"/>
      <c r="GV61" s="95"/>
      <c r="GW61" s="95"/>
      <c r="GX61" s="95"/>
      <c r="GY61" s="95"/>
      <c r="GZ61" s="95"/>
      <c r="HA61" s="95"/>
      <c r="HB61" s="95"/>
      <c r="HC61" s="95"/>
      <c r="HD61" s="95"/>
      <c r="HE61" s="95"/>
      <c r="HF61" s="95"/>
      <c r="HG61" s="95"/>
      <c r="HH61" s="95"/>
      <c r="HI61" s="95"/>
      <c r="HJ61" s="95"/>
      <c r="HK61" s="95"/>
      <c r="HL61" s="95"/>
      <c r="HM61" s="95"/>
      <c r="HN61" s="95"/>
      <c r="HO61" s="95"/>
      <c r="HP61" s="95"/>
      <c r="HQ61" s="95"/>
      <c r="HR61" s="95"/>
      <c r="HS61" s="95"/>
      <c r="HT61" s="95"/>
      <c r="HU61" s="95"/>
      <c r="HV61" s="95"/>
      <c r="HW61" s="95"/>
      <c r="HX61" s="95"/>
      <c r="HY61" s="95"/>
      <c r="HZ61" s="95"/>
      <c r="IA61" s="95"/>
      <c r="IB61" s="95"/>
      <c r="IC61" s="95"/>
      <c r="ID61" s="95"/>
      <c r="IE61" s="95"/>
      <c r="IF61" s="95"/>
      <c r="IG61" s="95"/>
      <c r="IH61" s="95"/>
      <c r="II61" s="95"/>
      <c r="IJ61" s="95"/>
      <c r="IK61" s="95"/>
      <c r="IL61" s="95"/>
      <c r="IM61" s="95"/>
      <c r="IN61" s="95"/>
      <c r="IO61" s="95"/>
      <c r="IP61" s="95"/>
      <c r="IQ61" s="95"/>
      <c r="IR61" s="95"/>
    </row>
    <row r="62" spans="1:252" ht="15.6" x14ac:dyDescent="0.3">
      <c r="A62" s="103" t="s">
        <v>160</v>
      </c>
      <c r="B62" s="104" t="s">
        <v>81</v>
      </c>
      <c r="C62" s="104" t="s">
        <v>73</v>
      </c>
      <c r="D62" s="105" t="s">
        <v>168</v>
      </c>
      <c r="E62" s="99">
        <v>78.930000000000007</v>
      </c>
      <c r="F62" s="100">
        <v>1509.82</v>
      </c>
      <c r="G62" s="101">
        <f>(($F$30+$F$31+$G$31)*F62)/$K$19</f>
        <v>169.09139023149325</v>
      </c>
      <c r="H62" s="100">
        <v>43.5</v>
      </c>
      <c r="I62" s="101">
        <f>(($F$30+$F$31+$G$31)*H62)/$K$19</f>
        <v>4.8717565504960572</v>
      </c>
      <c r="J62" s="102">
        <v>0.01</v>
      </c>
      <c r="K62" s="101">
        <f>(($F$30+$F$31+$G$31)*J62)/$K$19</f>
        <v>1.1199440345967947E-3</v>
      </c>
      <c r="L62" s="100">
        <v>233.66</v>
      </c>
      <c r="M62" s="101">
        <f>(($F$30+$F$31+$G$31)*L62)/$K$19</f>
        <v>26.168612312388706</v>
      </c>
      <c r="N62" s="102">
        <v>7.46</v>
      </c>
      <c r="O62" s="101">
        <f>(($F$30+$F$31+$G$31)*N62)/$K$19</f>
        <v>0.83547824980920882</v>
      </c>
      <c r="P62" s="95"/>
      <c r="Q62" s="95"/>
      <c r="R62" s="103" t="s">
        <v>160</v>
      </c>
      <c r="S62" s="104" t="s">
        <v>81</v>
      </c>
      <c r="T62" s="104" t="s">
        <v>73</v>
      </c>
      <c r="U62" s="105" t="s">
        <v>168</v>
      </c>
      <c r="V62" s="99">
        <v>78.930000000000007</v>
      </c>
      <c r="W62" s="100">
        <v>1509.82</v>
      </c>
      <c r="X62" s="101">
        <f>(($W$31+$W$32)*W62)/$S$41</f>
        <v>169.09139023149325</v>
      </c>
      <c r="Y62" s="100">
        <v>43.5</v>
      </c>
      <c r="Z62" s="101">
        <f>(($W$31+$W$32)*Y62)/$S$41</f>
        <v>4.8717565504960572</v>
      </c>
      <c r="AA62" s="102">
        <v>0.01</v>
      </c>
      <c r="AB62" s="101">
        <f>(($W$31+$W$32)*AA62)/$S$41</f>
        <v>1.1199440345967947E-3</v>
      </c>
      <c r="AC62" s="100">
        <v>233.66</v>
      </c>
      <c r="AD62" s="101">
        <f>(($W$31+$W$32)*AC62)/$S$41</f>
        <v>26.168612312388703</v>
      </c>
      <c r="AE62" s="102">
        <v>7.46</v>
      </c>
      <c r="AF62" s="101">
        <f>(($W$31+$W$32)*AE62)/$S$41</f>
        <v>0.83547824980920882</v>
      </c>
      <c r="AG62" s="95"/>
      <c r="AH62" s="95"/>
      <c r="AI62" s="95"/>
      <c r="AJ62" s="95"/>
      <c r="AK62" s="95"/>
      <c r="AL62" s="95"/>
      <c r="AM62" s="95"/>
      <c r="AN62" s="95"/>
      <c r="AO62" s="95"/>
      <c r="AP62" s="95"/>
      <c r="AQ62" s="95"/>
      <c r="AR62" s="95"/>
      <c r="AS62" s="95"/>
      <c r="AT62" s="95"/>
      <c r="AU62" s="95"/>
      <c r="AV62" s="95"/>
      <c r="AW62" s="95"/>
      <c r="AX62" s="95"/>
      <c r="AY62" s="95"/>
      <c r="AZ62" s="95"/>
      <c r="BA62" s="95"/>
      <c r="BB62" s="95"/>
      <c r="BC62" s="95"/>
      <c r="BD62" s="95"/>
      <c r="BE62" s="95"/>
      <c r="BF62" s="95"/>
      <c r="BG62" s="95"/>
      <c r="BH62" s="95"/>
      <c r="BI62" s="95"/>
      <c r="BJ62" s="95"/>
      <c r="BK62" s="95"/>
      <c r="BL62" s="95"/>
      <c r="BM62" s="95"/>
      <c r="BN62" s="95"/>
      <c r="BO62" s="95"/>
      <c r="BP62" s="95"/>
      <c r="BQ62" s="95"/>
      <c r="BR62" s="95"/>
      <c r="BS62" s="95"/>
      <c r="BT62" s="95"/>
      <c r="BU62" s="95"/>
      <c r="BV62" s="95"/>
      <c r="BW62" s="95"/>
      <c r="BX62" s="95"/>
      <c r="BY62" s="95"/>
      <c r="BZ62" s="95"/>
      <c r="CA62" s="95"/>
      <c r="CB62" s="95"/>
      <c r="CC62" s="95"/>
      <c r="CD62" s="95"/>
      <c r="CE62" s="95"/>
      <c r="CF62" s="95"/>
      <c r="CG62" s="95"/>
      <c r="CH62" s="95"/>
      <c r="CI62" s="95"/>
      <c r="CJ62" s="95"/>
      <c r="CK62" s="95"/>
      <c r="CL62" s="95"/>
      <c r="CM62" s="95"/>
      <c r="CN62" s="95"/>
      <c r="CO62" s="95"/>
      <c r="CP62" s="95"/>
      <c r="CQ62" s="95"/>
      <c r="CR62" s="95"/>
      <c r="CS62" s="95"/>
      <c r="CT62" s="95"/>
      <c r="CU62" s="95"/>
      <c r="CV62" s="95"/>
      <c r="CW62" s="95"/>
      <c r="CX62" s="95"/>
      <c r="CY62" s="95"/>
      <c r="CZ62" s="95"/>
      <c r="DA62" s="95"/>
      <c r="DB62" s="95"/>
      <c r="DC62" s="95"/>
      <c r="DD62" s="95"/>
      <c r="DE62" s="95"/>
      <c r="DF62" s="95"/>
      <c r="DG62" s="95"/>
      <c r="DH62" s="95"/>
      <c r="DI62" s="95"/>
      <c r="DJ62" s="95"/>
      <c r="DK62" s="95"/>
      <c r="DL62" s="95"/>
      <c r="DM62" s="95"/>
      <c r="DN62" s="95"/>
      <c r="DO62" s="95"/>
      <c r="DP62" s="95"/>
      <c r="DQ62" s="95"/>
      <c r="DR62" s="95"/>
      <c r="DS62" s="95"/>
      <c r="DT62" s="95"/>
      <c r="DU62" s="95"/>
      <c r="DV62" s="95"/>
      <c r="DW62" s="95"/>
      <c r="DX62" s="95"/>
      <c r="DY62" s="95"/>
      <c r="DZ62" s="95"/>
      <c r="EA62" s="95"/>
      <c r="EB62" s="95"/>
      <c r="EC62" s="95"/>
      <c r="ED62" s="95"/>
      <c r="EE62" s="95"/>
      <c r="EF62" s="95"/>
      <c r="EG62" s="95"/>
      <c r="EH62" s="95"/>
      <c r="EI62" s="95"/>
      <c r="EJ62" s="95"/>
      <c r="EK62" s="95"/>
      <c r="EL62" s="95"/>
      <c r="EM62" s="95"/>
      <c r="EN62" s="95"/>
      <c r="EO62" s="95"/>
      <c r="EP62" s="95"/>
      <c r="EQ62" s="95"/>
      <c r="ER62" s="95"/>
      <c r="ES62" s="95"/>
      <c r="ET62" s="95"/>
      <c r="EU62" s="95"/>
      <c r="EV62" s="95"/>
      <c r="EW62" s="95"/>
      <c r="EX62" s="95"/>
      <c r="EY62" s="95"/>
      <c r="EZ62" s="95"/>
      <c r="FA62" s="95"/>
      <c r="FB62" s="95"/>
      <c r="FC62" s="95"/>
      <c r="FD62" s="95"/>
      <c r="FE62" s="95"/>
      <c r="FF62" s="95"/>
      <c r="FG62" s="95"/>
      <c r="FH62" s="95"/>
      <c r="FI62" s="95"/>
      <c r="FJ62" s="95"/>
      <c r="FK62" s="95"/>
      <c r="FL62" s="95"/>
      <c r="FM62" s="95"/>
      <c r="FN62" s="95"/>
      <c r="FO62" s="95"/>
      <c r="FP62" s="95"/>
      <c r="FQ62" s="95"/>
      <c r="FR62" s="95"/>
      <c r="FS62" s="95"/>
      <c r="FT62" s="95"/>
      <c r="FU62" s="95"/>
      <c r="FV62" s="95"/>
      <c r="FW62" s="95"/>
      <c r="FX62" s="95"/>
      <c r="FY62" s="95"/>
      <c r="FZ62" s="95"/>
      <c r="GA62" s="95"/>
      <c r="GB62" s="95"/>
      <c r="GC62" s="95"/>
      <c r="GD62" s="95"/>
      <c r="GE62" s="95"/>
      <c r="GF62" s="95"/>
      <c r="GG62" s="95"/>
      <c r="GH62" s="95"/>
      <c r="GI62" s="95"/>
      <c r="GJ62" s="95"/>
      <c r="GK62" s="95"/>
      <c r="GL62" s="95"/>
      <c r="GM62" s="95"/>
      <c r="GN62" s="95"/>
      <c r="GO62" s="95"/>
      <c r="GP62" s="95"/>
      <c r="GQ62" s="95"/>
      <c r="GR62" s="95"/>
      <c r="GS62" s="95"/>
      <c r="GT62" s="95"/>
      <c r="GU62" s="95"/>
      <c r="GV62" s="95"/>
      <c r="GW62" s="95"/>
      <c r="GX62" s="95"/>
      <c r="GY62" s="95"/>
      <c r="GZ62" s="95"/>
      <c r="HA62" s="95"/>
      <c r="HB62" s="95"/>
      <c r="HC62" s="95"/>
      <c r="HD62" s="95"/>
      <c r="HE62" s="95"/>
      <c r="HF62" s="95"/>
      <c r="HG62" s="95"/>
      <c r="HH62" s="95"/>
      <c r="HI62" s="95"/>
      <c r="HJ62" s="95"/>
      <c r="HK62" s="95"/>
      <c r="HL62" s="95"/>
      <c r="HM62" s="95"/>
      <c r="HN62" s="95"/>
      <c r="HO62" s="95"/>
      <c r="HP62" s="95"/>
      <c r="HQ62" s="95"/>
      <c r="HR62" s="95"/>
      <c r="HS62" s="95"/>
      <c r="HT62" s="95"/>
      <c r="HU62" s="95"/>
      <c r="HV62" s="95"/>
      <c r="HW62" s="95"/>
      <c r="HX62" s="95"/>
      <c r="HY62" s="95"/>
      <c r="HZ62" s="95"/>
      <c r="IA62" s="95"/>
      <c r="IB62" s="95"/>
      <c r="IC62" s="95"/>
      <c r="ID62" s="95"/>
      <c r="IE62" s="95"/>
      <c r="IF62" s="95"/>
      <c r="IG62" s="95"/>
      <c r="IH62" s="95"/>
      <c r="II62" s="95"/>
      <c r="IJ62" s="95"/>
      <c r="IK62" s="95"/>
      <c r="IL62" s="95"/>
      <c r="IM62" s="95"/>
      <c r="IN62" s="95"/>
      <c r="IO62" s="95"/>
      <c r="IP62" s="95"/>
      <c r="IQ62" s="95"/>
      <c r="IR62" s="95"/>
    </row>
    <row r="63" spans="1:252" ht="15.6" x14ac:dyDescent="0.3">
      <c r="A63" s="103" t="s">
        <v>160</v>
      </c>
      <c r="B63" s="104" t="s">
        <v>81</v>
      </c>
      <c r="C63" s="104" t="s">
        <v>75</v>
      </c>
      <c r="D63" s="105" t="s">
        <v>169</v>
      </c>
      <c r="E63" s="99">
        <v>78.930000000000007</v>
      </c>
      <c r="F63" s="100">
        <v>1167.53</v>
      </c>
      <c r="G63" s="101">
        <f>(($F$32+$F$33+$F$34+$F$35+$I$32)*F63)/$K$19</f>
        <v>284.53160518951921</v>
      </c>
      <c r="H63" s="100">
        <v>43.5</v>
      </c>
      <c r="I63" s="101">
        <f>(($F$32+$F$33+$F$34+$F$35+$I$32)*H63)/$K$19</f>
        <v>10.601119308064106</v>
      </c>
      <c r="J63" s="102">
        <v>0.01</v>
      </c>
      <c r="K63" s="101">
        <f>(($F$32+$F$33+$F$34+$F$35+$I$32)*J63)/$K$19</f>
        <v>2.4370389213940473E-3</v>
      </c>
      <c r="L63" s="100">
        <v>233.66</v>
      </c>
      <c r="M63" s="101">
        <f>(($F$32+$F$33+$F$34+$F$35+$I$32)*L63)/$K$19</f>
        <v>56.943851437293311</v>
      </c>
      <c r="N63" s="102">
        <v>6.34</v>
      </c>
      <c r="O63" s="101">
        <f>(($F$32+$F$33+$F$34+$F$35+$I$32)*N63)/$K$19</f>
        <v>1.5450826761638261</v>
      </c>
      <c r="P63" s="95"/>
      <c r="Q63" s="95"/>
      <c r="R63" s="103" t="s">
        <v>160</v>
      </c>
      <c r="S63" s="104" t="s">
        <v>81</v>
      </c>
      <c r="T63" s="104" t="s">
        <v>75</v>
      </c>
      <c r="U63" s="105" t="s">
        <v>169</v>
      </c>
      <c r="V63" s="99">
        <v>78.930000000000007</v>
      </c>
      <c r="W63" s="100">
        <v>1167.53</v>
      </c>
      <c r="X63" s="101">
        <f>(($W$33+$W$34+$W$35+$W$36)*W63)/$S$41</f>
        <v>284.53160518951915</v>
      </c>
      <c r="Y63" s="100">
        <v>43.5</v>
      </c>
      <c r="Z63" s="101">
        <f>(($W$33+$W$34+$W$35+$W$36)*Y63)/$S$41</f>
        <v>10.601119308064105</v>
      </c>
      <c r="AA63" s="102">
        <v>0.01</v>
      </c>
      <c r="AB63" s="101">
        <f>(($W$33+$W$34+$W$35+$W$36)*AA63)/$S$41</f>
        <v>2.4370389213940469E-3</v>
      </c>
      <c r="AC63" s="100">
        <v>233.66</v>
      </c>
      <c r="AD63" s="101">
        <f>(($W$33+$W$34+$W$35+$W$36)*AC63)/$S$41</f>
        <v>56.943851437293297</v>
      </c>
      <c r="AE63" s="102">
        <v>6.34</v>
      </c>
      <c r="AF63" s="101">
        <f>(($W$33+$W$34+$W$35+$W$36)*AE63)/$S$41</f>
        <v>1.5450826761638257</v>
      </c>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c r="BX63" s="95"/>
      <c r="BY63" s="95"/>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5"/>
      <c r="DC63" s="95"/>
      <c r="DD63" s="95"/>
      <c r="DE63" s="95"/>
      <c r="DF63" s="95"/>
      <c r="DG63" s="95"/>
      <c r="DH63" s="95"/>
      <c r="DI63" s="95"/>
      <c r="DJ63" s="95"/>
      <c r="DK63" s="95"/>
      <c r="DL63" s="95"/>
      <c r="DM63" s="95"/>
      <c r="DN63" s="95"/>
      <c r="DO63" s="95"/>
      <c r="DP63" s="95"/>
      <c r="DQ63" s="95"/>
      <c r="DR63" s="95"/>
      <c r="DS63" s="95"/>
      <c r="DT63" s="95"/>
      <c r="DU63" s="95"/>
      <c r="DV63" s="95"/>
      <c r="DW63" s="95"/>
      <c r="DX63" s="95"/>
      <c r="DY63" s="95"/>
      <c r="DZ63" s="95"/>
      <c r="EA63" s="95"/>
      <c r="EB63" s="95"/>
      <c r="EC63" s="95"/>
      <c r="ED63" s="95"/>
      <c r="EE63" s="95"/>
      <c r="EF63" s="95"/>
      <c r="EG63" s="95"/>
      <c r="EH63" s="95"/>
      <c r="EI63" s="95"/>
      <c r="EJ63" s="95"/>
      <c r="EK63" s="95"/>
      <c r="EL63" s="95"/>
      <c r="EM63" s="95"/>
      <c r="EN63" s="95"/>
      <c r="EO63" s="95"/>
      <c r="EP63" s="95"/>
      <c r="EQ63" s="95"/>
      <c r="ER63" s="95"/>
      <c r="ES63" s="95"/>
      <c r="ET63" s="95"/>
      <c r="EU63" s="95"/>
      <c r="EV63" s="95"/>
      <c r="EW63" s="95"/>
      <c r="EX63" s="95"/>
      <c r="EY63" s="95"/>
      <c r="EZ63" s="95"/>
      <c r="FA63" s="95"/>
      <c r="FB63" s="95"/>
      <c r="FC63" s="95"/>
      <c r="FD63" s="95"/>
      <c r="FE63" s="95"/>
      <c r="FF63" s="95"/>
      <c r="FG63" s="95"/>
      <c r="FH63" s="95"/>
      <c r="FI63" s="95"/>
      <c r="FJ63" s="95"/>
      <c r="FK63" s="95"/>
      <c r="FL63" s="95"/>
      <c r="FM63" s="95"/>
      <c r="FN63" s="95"/>
      <c r="FO63" s="95"/>
      <c r="FP63" s="95"/>
      <c r="FQ63" s="95"/>
      <c r="FR63" s="95"/>
      <c r="FS63" s="95"/>
      <c r="FT63" s="95"/>
      <c r="FU63" s="95"/>
      <c r="FV63" s="95"/>
      <c r="FW63" s="95"/>
      <c r="FX63" s="95"/>
      <c r="FY63" s="95"/>
      <c r="FZ63" s="95"/>
      <c r="GA63" s="95"/>
      <c r="GB63" s="95"/>
      <c r="GC63" s="95"/>
      <c r="GD63" s="95"/>
      <c r="GE63" s="95"/>
      <c r="GF63" s="95"/>
      <c r="GG63" s="95"/>
      <c r="GH63" s="95"/>
      <c r="GI63" s="95"/>
      <c r="GJ63" s="95"/>
      <c r="GK63" s="95"/>
      <c r="GL63" s="95"/>
      <c r="GM63" s="95"/>
      <c r="GN63" s="95"/>
      <c r="GO63" s="95"/>
      <c r="GP63" s="95"/>
      <c r="GQ63" s="95"/>
      <c r="GR63" s="95"/>
      <c r="GS63" s="95"/>
      <c r="GT63" s="95"/>
      <c r="GU63" s="95"/>
      <c r="GV63" s="95"/>
      <c r="GW63" s="95"/>
      <c r="GX63" s="95"/>
      <c r="GY63" s="95"/>
      <c r="GZ63" s="95"/>
      <c r="HA63" s="95"/>
      <c r="HB63" s="95"/>
      <c r="HC63" s="95"/>
      <c r="HD63" s="95"/>
      <c r="HE63" s="95"/>
      <c r="HF63" s="95"/>
      <c r="HG63" s="95"/>
      <c r="HH63" s="95"/>
      <c r="HI63" s="95"/>
      <c r="HJ63" s="95"/>
      <c r="HK63" s="95"/>
      <c r="HL63" s="95"/>
      <c r="HM63" s="95"/>
      <c r="HN63" s="95"/>
      <c r="HO63" s="95"/>
      <c r="HP63" s="95"/>
      <c r="HQ63" s="95"/>
      <c r="HR63" s="95"/>
      <c r="HS63" s="95"/>
      <c r="HT63" s="95"/>
      <c r="HU63" s="95"/>
      <c r="HV63" s="95"/>
      <c r="HW63" s="95"/>
      <c r="HX63" s="95"/>
      <c r="HY63" s="95"/>
      <c r="HZ63" s="95"/>
      <c r="IA63" s="95"/>
      <c r="IB63" s="95"/>
      <c r="IC63" s="95"/>
      <c r="ID63" s="95"/>
      <c r="IE63" s="95"/>
      <c r="IF63" s="95"/>
      <c r="IG63" s="95"/>
      <c r="IH63" s="95"/>
      <c r="II63" s="95"/>
      <c r="IJ63" s="95"/>
      <c r="IK63" s="95"/>
      <c r="IL63" s="95"/>
      <c r="IM63" s="95"/>
      <c r="IN63" s="95"/>
      <c r="IO63" s="95"/>
      <c r="IP63" s="95"/>
      <c r="IQ63" s="95"/>
      <c r="IR63" s="95"/>
    </row>
    <row r="64" spans="1:252" ht="15.6" x14ac:dyDescent="0.3">
      <c r="A64" s="103" t="s">
        <v>160</v>
      </c>
      <c r="B64" s="104" t="s">
        <v>81</v>
      </c>
      <c r="C64" s="104" t="s">
        <v>77</v>
      </c>
      <c r="D64" s="105" t="s">
        <v>172</v>
      </c>
      <c r="E64" s="99">
        <v>78.930000000000007</v>
      </c>
      <c r="F64" s="100">
        <v>515.59</v>
      </c>
      <c r="G64" s="101">
        <f>($F$36*F64)/$K$19</f>
        <v>4.8201303739506489</v>
      </c>
      <c r="H64" s="100">
        <v>43.5</v>
      </c>
      <c r="I64" s="101">
        <f>($F$36*H64)/$K$19</f>
        <v>0.4066713304502671</v>
      </c>
      <c r="J64" s="102">
        <v>0.01</v>
      </c>
      <c r="K64" s="101">
        <f>($F$36*J64)/$K$19</f>
        <v>9.3487662172475199E-5</v>
      </c>
      <c r="L64" s="100">
        <v>233.66</v>
      </c>
      <c r="M64" s="101">
        <f>($F$36*L64)/$K$19</f>
        <v>2.1844327143220554</v>
      </c>
      <c r="N64" s="102">
        <v>6.34</v>
      </c>
      <c r="O64" s="101">
        <f>($F$36*N64)/$K$19</f>
        <v>5.9271177817349273E-2</v>
      </c>
      <c r="P64" s="95"/>
      <c r="Q64" s="95"/>
      <c r="R64" s="103" t="s">
        <v>160</v>
      </c>
      <c r="S64" s="104" t="s">
        <v>81</v>
      </c>
      <c r="T64" s="104" t="s">
        <v>77</v>
      </c>
      <c r="U64" s="105" t="s">
        <v>172</v>
      </c>
      <c r="V64" s="99">
        <v>78.930000000000007</v>
      </c>
      <c r="W64" s="100">
        <v>515.59</v>
      </c>
      <c r="X64" s="101">
        <f>($W$37*W64)/$S$41</f>
        <v>4.8201303739506498</v>
      </c>
      <c r="Y64" s="100">
        <v>43.5</v>
      </c>
      <c r="Z64" s="101">
        <f>($W$37*Y64)/$S$41</f>
        <v>0.40667133045026715</v>
      </c>
      <c r="AA64" s="102">
        <v>0.01</v>
      </c>
      <c r="AB64" s="101">
        <f>($W$37*AA64)/$S$41</f>
        <v>9.3487662172475212E-5</v>
      </c>
      <c r="AC64" s="100">
        <v>233.66</v>
      </c>
      <c r="AD64" s="101">
        <f>($W$37*AC64)/$S$41</f>
        <v>2.1844327143220559</v>
      </c>
      <c r="AE64" s="102">
        <v>6.34</v>
      </c>
      <c r="AF64" s="101">
        <f>($W$37*AE64)/$S$41</f>
        <v>5.927117781734928E-2</v>
      </c>
      <c r="AG64" s="95"/>
      <c r="AH64" s="95"/>
      <c r="AI64" s="95"/>
      <c r="AJ64" s="95"/>
      <c r="AK64" s="95"/>
      <c r="AL64" s="95"/>
      <c r="AM64" s="95"/>
      <c r="AN64" s="95"/>
      <c r="AO64" s="95"/>
      <c r="AP64" s="95"/>
      <c r="AQ64" s="95"/>
      <c r="AR64" s="95"/>
      <c r="AS64" s="95"/>
      <c r="AT64" s="95"/>
      <c r="AU64" s="95"/>
      <c r="AV64" s="95"/>
      <c r="AW64" s="95"/>
      <c r="AX64" s="95"/>
      <c r="AY64" s="95"/>
      <c r="AZ64" s="95"/>
      <c r="BA64" s="95"/>
      <c r="BB64" s="95"/>
      <c r="BC64" s="95"/>
      <c r="BD64" s="95"/>
      <c r="BE64" s="95"/>
      <c r="BF64" s="95"/>
      <c r="BG64" s="95"/>
      <c r="BH64" s="95"/>
      <c r="BI64" s="95"/>
      <c r="BJ64" s="95"/>
      <c r="BK64" s="95"/>
      <c r="BL64" s="95"/>
      <c r="BM64" s="95"/>
      <c r="BN64" s="95"/>
      <c r="BO64" s="95"/>
      <c r="BP64" s="95"/>
      <c r="BQ64" s="95"/>
      <c r="BR64" s="95"/>
      <c r="BS64" s="95"/>
      <c r="BT64" s="95"/>
      <c r="BU64" s="95"/>
      <c r="BV64" s="95"/>
      <c r="BW64" s="95"/>
      <c r="BX64" s="95"/>
      <c r="BY64" s="95"/>
      <c r="BZ64" s="95"/>
      <c r="CA64" s="95"/>
      <c r="CB64" s="95"/>
      <c r="CC64" s="95"/>
      <c r="CD64" s="95"/>
      <c r="CE64" s="95"/>
      <c r="CF64" s="95"/>
      <c r="CG64" s="95"/>
      <c r="CH64" s="95"/>
      <c r="CI64" s="95"/>
      <c r="CJ64" s="95"/>
      <c r="CK64" s="95"/>
      <c r="CL64" s="95"/>
      <c r="CM64" s="95"/>
      <c r="CN64" s="95"/>
      <c r="CO64" s="95"/>
      <c r="CP64" s="95"/>
      <c r="CQ64" s="95"/>
      <c r="CR64" s="95"/>
      <c r="CS64" s="95"/>
      <c r="CT64" s="95"/>
      <c r="CU64" s="95"/>
      <c r="CV64" s="95"/>
      <c r="CW64" s="95"/>
      <c r="CX64" s="95"/>
      <c r="CY64" s="95"/>
      <c r="CZ64" s="95"/>
      <c r="DA64" s="95"/>
      <c r="DB64" s="95"/>
      <c r="DC64" s="95"/>
      <c r="DD64" s="95"/>
      <c r="DE64" s="95"/>
      <c r="DF64" s="95"/>
      <c r="DG64" s="95"/>
      <c r="DH64" s="95"/>
      <c r="DI64" s="95"/>
      <c r="DJ64" s="95"/>
      <c r="DK64" s="95"/>
      <c r="DL64" s="95"/>
      <c r="DM64" s="95"/>
      <c r="DN64" s="95"/>
      <c r="DO64" s="95"/>
      <c r="DP64" s="95"/>
      <c r="DQ64" s="95"/>
      <c r="DR64" s="95"/>
      <c r="DS64" s="95"/>
      <c r="DT64" s="95"/>
      <c r="DU64" s="95"/>
      <c r="DV64" s="95"/>
      <c r="DW64" s="95"/>
      <c r="DX64" s="95"/>
      <c r="DY64" s="95"/>
      <c r="DZ64" s="95"/>
      <c r="EA64" s="95"/>
      <c r="EB64" s="95"/>
      <c r="EC64" s="95"/>
      <c r="ED64" s="95"/>
      <c r="EE64" s="95"/>
      <c r="EF64" s="95"/>
      <c r="EG64" s="95"/>
      <c r="EH64" s="95"/>
      <c r="EI64" s="95"/>
      <c r="EJ64" s="95"/>
      <c r="EK64" s="95"/>
      <c r="EL64" s="95"/>
      <c r="EM64" s="95"/>
      <c r="EN64" s="95"/>
      <c r="EO64" s="95"/>
      <c r="EP64" s="95"/>
      <c r="EQ64" s="95"/>
      <c r="ER64" s="95"/>
      <c r="ES64" s="95"/>
      <c r="ET64" s="95"/>
      <c r="EU64" s="95"/>
      <c r="EV64" s="95"/>
      <c r="EW64" s="95"/>
      <c r="EX64" s="95"/>
      <c r="EY64" s="95"/>
      <c r="EZ64" s="95"/>
      <c r="FA64" s="95"/>
      <c r="FB64" s="95"/>
      <c r="FC64" s="95"/>
      <c r="FD64" s="95"/>
      <c r="FE64" s="95"/>
      <c r="FF64" s="95"/>
      <c r="FG64" s="95"/>
      <c r="FH64" s="95"/>
      <c r="FI64" s="95"/>
      <c r="FJ64" s="95"/>
      <c r="FK64" s="95"/>
      <c r="FL64" s="95"/>
      <c r="FM64" s="95"/>
      <c r="FN64" s="95"/>
      <c r="FO64" s="95"/>
      <c r="FP64" s="95"/>
      <c r="FQ64" s="95"/>
      <c r="FR64" s="95"/>
      <c r="FS64" s="95"/>
      <c r="FT64" s="95"/>
      <c r="FU64" s="95"/>
      <c r="FV64" s="95"/>
      <c r="FW64" s="95"/>
      <c r="FX64" s="95"/>
      <c r="FY64" s="95"/>
      <c r="FZ64" s="95"/>
      <c r="GA64" s="95"/>
      <c r="GB64" s="95"/>
      <c r="GC64" s="95"/>
      <c r="GD64" s="95"/>
      <c r="GE64" s="95"/>
      <c r="GF64" s="95"/>
      <c r="GG64" s="95"/>
      <c r="GH64" s="95"/>
      <c r="GI64" s="95"/>
      <c r="GJ64" s="95"/>
      <c r="GK64" s="95"/>
      <c r="GL64" s="95"/>
      <c r="GM64" s="95"/>
      <c r="GN64" s="95"/>
      <c r="GO64" s="95"/>
      <c r="GP64" s="95"/>
      <c r="GQ64" s="95"/>
      <c r="GR64" s="95"/>
      <c r="GS64" s="95"/>
      <c r="GT64" s="95"/>
      <c r="GU64" s="95"/>
      <c r="GV64" s="95"/>
      <c r="GW64" s="95"/>
      <c r="GX64" s="95"/>
      <c r="GY64" s="95"/>
      <c r="GZ64" s="95"/>
      <c r="HA64" s="95"/>
      <c r="HB64" s="95"/>
      <c r="HC64" s="95"/>
      <c r="HD64" s="95"/>
      <c r="HE64" s="95"/>
      <c r="HF64" s="95"/>
      <c r="HG64" s="95"/>
      <c r="HH64" s="95"/>
      <c r="HI64" s="95"/>
      <c r="HJ64" s="95"/>
      <c r="HK64" s="95"/>
      <c r="HL64" s="95"/>
      <c r="HM64" s="95"/>
      <c r="HN64" s="95"/>
      <c r="HO64" s="95"/>
      <c r="HP64" s="95"/>
      <c r="HQ64" s="95"/>
      <c r="HR64" s="95"/>
      <c r="HS64" s="95"/>
      <c r="HT64" s="95"/>
      <c r="HU64" s="95"/>
      <c r="HV64" s="95"/>
      <c r="HW64" s="95"/>
      <c r="HX64" s="95"/>
      <c r="HY64" s="95"/>
      <c r="HZ64" s="95"/>
      <c r="IA64" s="95"/>
      <c r="IB64" s="95"/>
      <c r="IC64" s="95"/>
      <c r="ID64" s="95"/>
      <c r="IE64" s="95"/>
      <c r="IF64" s="95"/>
      <c r="IG64" s="95"/>
      <c r="IH64" s="95"/>
      <c r="II64" s="95"/>
      <c r="IJ64" s="95"/>
      <c r="IK64" s="95"/>
      <c r="IL64" s="95"/>
      <c r="IM64" s="95"/>
      <c r="IN64" s="95"/>
      <c r="IO64" s="95"/>
      <c r="IP64" s="95"/>
      <c r="IQ64" s="95"/>
      <c r="IR64" s="95"/>
    </row>
    <row r="65" spans="1:252" ht="15.6" x14ac:dyDescent="0.3">
      <c r="A65" s="103" t="s">
        <v>160</v>
      </c>
      <c r="B65" s="104" t="s">
        <v>81</v>
      </c>
      <c r="C65" s="104" t="s">
        <v>85</v>
      </c>
      <c r="D65" s="105" t="s">
        <v>171</v>
      </c>
      <c r="E65" s="99">
        <v>78.930000000000007</v>
      </c>
      <c r="F65" s="100">
        <v>141.66</v>
      </c>
      <c r="G65" s="101">
        <f>($F$37*F65)/$K$19</f>
        <v>0.86487916560671585</v>
      </c>
      <c r="H65" s="100">
        <v>43.5</v>
      </c>
      <c r="I65" s="101">
        <f>($F$37*H65)/$K$19</f>
        <v>0.26558127702874584</v>
      </c>
      <c r="J65" s="102">
        <v>0.01</v>
      </c>
      <c r="K65" s="101">
        <f>($F$37*J65)/$K$19</f>
        <v>6.105316713304502E-5</v>
      </c>
      <c r="L65" s="100">
        <v>233.66</v>
      </c>
      <c r="M65" s="101">
        <f>($F$37*L65)/$K$19</f>
        <v>1.4265683032307301</v>
      </c>
      <c r="N65" s="102">
        <v>6.34</v>
      </c>
      <c r="O65" s="101">
        <f>($F$37*N65)/$K$19</f>
        <v>3.8707707962350547E-2</v>
      </c>
      <c r="P65" s="95"/>
      <c r="Q65" s="95"/>
      <c r="R65" s="103" t="s">
        <v>160</v>
      </c>
      <c r="S65" s="104" t="s">
        <v>81</v>
      </c>
      <c r="T65" s="104" t="s">
        <v>85</v>
      </c>
      <c r="U65" s="105" t="s">
        <v>171</v>
      </c>
      <c r="V65" s="99">
        <v>78.930000000000007</v>
      </c>
      <c r="W65" s="100">
        <v>141.66</v>
      </c>
      <c r="X65" s="101">
        <f>($W$38*W65)/$S$41</f>
        <v>0.86487916560671574</v>
      </c>
      <c r="Y65" s="100">
        <v>43.5</v>
      </c>
      <c r="Z65" s="101">
        <f>($W$38*Y65)/$S$41</f>
        <v>0.26558127702874584</v>
      </c>
      <c r="AA65" s="102">
        <v>0.01</v>
      </c>
      <c r="AB65" s="101">
        <f>($W$38*AA65)/$S$41</f>
        <v>6.105316713304502E-5</v>
      </c>
      <c r="AC65" s="100">
        <v>233.66</v>
      </c>
      <c r="AD65" s="101">
        <f>($W$38*AC65)/$S$41</f>
        <v>1.4265683032307301</v>
      </c>
      <c r="AE65" s="102">
        <v>6.34</v>
      </c>
      <c r="AF65" s="101">
        <f>($W$38*AE65)/$S$41</f>
        <v>3.8707707962350547E-2</v>
      </c>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5"/>
      <c r="CA65" s="95"/>
      <c r="CB65" s="95"/>
      <c r="CC65" s="95"/>
      <c r="CD65" s="95"/>
      <c r="CE65" s="95"/>
      <c r="CF65" s="95"/>
      <c r="CG65" s="95"/>
      <c r="CH65" s="95"/>
      <c r="CI65" s="95"/>
      <c r="CJ65" s="95"/>
      <c r="CK65" s="95"/>
      <c r="CL65" s="95"/>
      <c r="CM65" s="95"/>
      <c r="CN65" s="95"/>
      <c r="CO65" s="95"/>
      <c r="CP65" s="95"/>
      <c r="CQ65" s="95"/>
      <c r="CR65" s="95"/>
      <c r="CS65" s="95"/>
      <c r="CT65" s="95"/>
      <c r="CU65" s="95"/>
      <c r="CV65" s="95"/>
      <c r="CW65" s="95"/>
      <c r="CX65" s="95"/>
      <c r="CY65" s="95"/>
      <c r="CZ65" s="95"/>
      <c r="DA65" s="95"/>
      <c r="DB65" s="95"/>
      <c r="DC65" s="95"/>
      <c r="DD65" s="95"/>
      <c r="DE65" s="95"/>
      <c r="DF65" s="95"/>
      <c r="DG65" s="95"/>
      <c r="DH65" s="95"/>
      <c r="DI65" s="95"/>
      <c r="DJ65" s="95"/>
      <c r="DK65" s="95"/>
      <c r="DL65" s="95"/>
      <c r="DM65" s="95"/>
      <c r="DN65" s="95"/>
      <c r="DO65" s="95"/>
      <c r="DP65" s="95"/>
      <c r="DQ65" s="95"/>
      <c r="DR65" s="95"/>
      <c r="DS65" s="95"/>
      <c r="DT65" s="95"/>
      <c r="DU65" s="95"/>
      <c r="DV65" s="95"/>
      <c r="DW65" s="95"/>
      <c r="DX65" s="95"/>
      <c r="DY65" s="95"/>
      <c r="DZ65" s="95"/>
      <c r="EA65" s="95"/>
      <c r="EB65" s="95"/>
      <c r="EC65" s="95"/>
      <c r="ED65" s="95"/>
      <c r="EE65" s="95"/>
      <c r="EF65" s="95"/>
      <c r="EG65" s="95"/>
      <c r="EH65" s="95"/>
      <c r="EI65" s="95"/>
      <c r="EJ65" s="95"/>
      <c r="EK65" s="95"/>
      <c r="EL65" s="95"/>
      <c r="EM65" s="95"/>
      <c r="EN65" s="95"/>
      <c r="EO65" s="95"/>
      <c r="EP65" s="95"/>
      <c r="EQ65" s="95"/>
      <c r="ER65" s="95"/>
      <c r="ES65" s="95"/>
      <c r="ET65" s="95"/>
      <c r="EU65" s="95"/>
      <c r="EV65" s="95"/>
      <c r="EW65" s="95"/>
      <c r="EX65" s="95"/>
      <c r="EY65" s="95"/>
      <c r="EZ65" s="95"/>
      <c r="FA65" s="95"/>
      <c r="FB65" s="95"/>
      <c r="FC65" s="95"/>
      <c r="FD65" s="95"/>
      <c r="FE65" s="95"/>
      <c r="FF65" s="95"/>
      <c r="FG65" s="95"/>
      <c r="FH65" s="95"/>
      <c r="FI65" s="95"/>
      <c r="FJ65" s="95"/>
      <c r="FK65" s="95"/>
      <c r="FL65" s="95"/>
      <c r="FM65" s="95"/>
      <c r="FN65" s="95"/>
      <c r="FO65" s="95"/>
      <c r="FP65" s="95"/>
      <c r="FQ65" s="95"/>
      <c r="FR65" s="95"/>
      <c r="FS65" s="95"/>
      <c r="FT65" s="95"/>
      <c r="FU65" s="95"/>
      <c r="FV65" s="95"/>
      <c r="FW65" s="95"/>
      <c r="FX65" s="95"/>
      <c r="FY65" s="95"/>
      <c r="FZ65" s="95"/>
      <c r="GA65" s="95"/>
      <c r="GB65" s="95"/>
      <c r="GC65" s="95"/>
      <c r="GD65" s="95"/>
      <c r="GE65" s="95"/>
      <c r="GF65" s="95"/>
      <c r="GG65" s="95"/>
      <c r="GH65" s="95"/>
      <c r="GI65" s="95"/>
      <c r="GJ65" s="95"/>
      <c r="GK65" s="95"/>
      <c r="GL65" s="95"/>
      <c r="GM65" s="95"/>
      <c r="GN65" s="95"/>
      <c r="GO65" s="95"/>
      <c r="GP65" s="95"/>
      <c r="GQ65" s="95"/>
      <c r="GR65" s="95"/>
      <c r="GS65" s="95"/>
      <c r="GT65" s="95"/>
      <c r="GU65" s="95"/>
      <c r="GV65" s="95"/>
      <c r="GW65" s="95"/>
      <c r="GX65" s="95"/>
      <c r="GY65" s="95"/>
      <c r="GZ65" s="95"/>
      <c r="HA65" s="95"/>
      <c r="HB65" s="95"/>
      <c r="HC65" s="95"/>
      <c r="HD65" s="95"/>
      <c r="HE65" s="95"/>
      <c r="HF65" s="95"/>
      <c r="HG65" s="95"/>
      <c r="HH65" s="95"/>
      <c r="HI65" s="95"/>
      <c r="HJ65" s="95"/>
      <c r="HK65" s="95"/>
      <c r="HL65" s="95"/>
      <c r="HM65" s="95"/>
      <c r="HN65" s="95"/>
      <c r="HO65" s="95"/>
      <c r="HP65" s="95"/>
      <c r="HQ65" s="95"/>
      <c r="HR65" s="95"/>
      <c r="HS65" s="95"/>
      <c r="HT65" s="95"/>
      <c r="HU65" s="95"/>
      <c r="HV65" s="95"/>
      <c r="HW65" s="95"/>
      <c r="HX65" s="95"/>
      <c r="HY65" s="95"/>
      <c r="HZ65" s="95"/>
      <c r="IA65" s="95"/>
      <c r="IB65" s="95"/>
      <c r="IC65" s="95"/>
      <c r="ID65" s="95"/>
      <c r="IE65" s="95"/>
      <c r="IF65" s="95"/>
      <c r="IG65" s="95"/>
      <c r="IH65" s="95"/>
      <c r="II65" s="95"/>
      <c r="IJ65" s="95"/>
      <c r="IK65" s="95"/>
      <c r="IL65" s="95"/>
      <c r="IM65" s="95"/>
      <c r="IN65" s="95"/>
      <c r="IO65" s="95"/>
      <c r="IP65" s="95"/>
      <c r="IQ65" s="95"/>
      <c r="IR65" s="95"/>
    </row>
    <row r="66" spans="1:252" ht="15.6" x14ac:dyDescent="0.3">
      <c r="A66" s="103" t="s">
        <v>160</v>
      </c>
      <c r="B66" s="104" t="s">
        <v>86</v>
      </c>
      <c r="C66" s="104" t="s">
        <v>82</v>
      </c>
      <c r="D66" s="105" t="s">
        <v>161</v>
      </c>
      <c r="E66" s="99">
        <v>60.38</v>
      </c>
      <c r="F66" s="100">
        <v>2465.5100000000002</v>
      </c>
      <c r="G66" s="101">
        <f>($C$25*F66)/$K$19</f>
        <v>4.3903764945306536</v>
      </c>
      <c r="H66" s="100">
        <v>43.3</v>
      </c>
      <c r="I66" s="101">
        <f>(E25*H66)/$K$19</f>
        <v>0</v>
      </c>
      <c r="J66" s="100">
        <v>46.23</v>
      </c>
      <c r="K66" s="101">
        <f>($C$25*J66)/$K$19</f>
        <v>8.2322564233019577E-2</v>
      </c>
      <c r="L66" s="100">
        <v>181.23</v>
      </c>
      <c r="M66" s="101">
        <f>($C$25*L66)/$K$19</f>
        <v>0.32271940981938435</v>
      </c>
      <c r="N66" s="100">
        <v>0</v>
      </c>
      <c r="O66" s="101">
        <f>($C$25*N66)/$K$19</f>
        <v>0</v>
      </c>
      <c r="P66" s="95"/>
      <c r="Q66" s="95"/>
      <c r="R66" s="103" t="s">
        <v>160</v>
      </c>
      <c r="S66" s="104" t="s">
        <v>86</v>
      </c>
      <c r="T66" s="104" t="s">
        <v>82</v>
      </c>
      <c r="U66" s="105" t="s">
        <v>161</v>
      </c>
      <c r="V66" s="99">
        <v>60.38</v>
      </c>
      <c r="W66" s="100">
        <v>2465.5100000000002</v>
      </c>
      <c r="X66" s="101">
        <f>($U$26*W66)/$S$41</f>
        <v>4.3903764945306545</v>
      </c>
      <c r="Y66" s="100">
        <v>43.3</v>
      </c>
      <c r="Z66" s="101">
        <f>($U$26*Y66)/$S$41</f>
        <v>7.7105062325108109E-2</v>
      </c>
      <c r="AA66" s="100">
        <v>46.23</v>
      </c>
      <c r="AB66" s="101">
        <f>($U$26*AA66)/$S$41</f>
        <v>8.2322564233019577E-2</v>
      </c>
      <c r="AC66" s="100">
        <v>181.23</v>
      </c>
      <c r="AD66" s="101">
        <f>($U$26*AC66)/$S$41</f>
        <v>0.32271940981938435</v>
      </c>
      <c r="AE66" s="100">
        <v>0</v>
      </c>
      <c r="AF66" s="101">
        <f>($U$26*AE66)/$S$41</f>
        <v>0</v>
      </c>
      <c r="AG66" s="95"/>
      <c r="AH66" s="95"/>
      <c r="AI66" s="95"/>
      <c r="AJ66" s="95"/>
      <c r="AK66" s="95"/>
      <c r="AL66" s="95"/>
      <c r="AM66" s="95"/>
      <c r="AN66" s="95"/>
      <c r="AO66" s="95"/>
      <c r="AP66" s="95"/>
      <c r="AQ66" s="95"/>
      <c r="AR66" s="95"/>
      <c r="AS66" s="95"/>
      <c r="AT66" s="95"/>
      <c r="AU66" s="95"/>
      <c r="AV66" s="95"/>
      <c r="AW66" s="95"/>
      <c r="AX66" s="95"/>
      <c r="AY66" s="95"/>
      <c r="AZ66" s="95"/>
      <c r="BA66" s="95"/>
      <c r="BB66" s="95"/>
      <c r="BC66" s="95"/>
      <c r="BD66" s="95"/>
      <c r="BE66" s="95"/>
      <c r="BF66" s="95"/>
      <c r="BG66" s="95"/>
      <c r="BH66" s="95"/>
      <c r="BI66" s="95"/>
      <c r="BJ66" s="95"/>
      <c r="BK66" s="95"/>
      <c r="BL66" s="95"/>
      <c r="BM66" s="95"/>
      <c r="BN66" s="95"/>
      <c r="BO66" s="95"/>
      <c r="BP66" s="95"/>
      <c r="BQ66" s="95"/>
      <c r="BR66" s="95"/>
      <c r="BS66" s="95"/>
      <c r="BT66" s="95"/>
      <c r="BU66" s="95"/>
      <c r="BV66" s="95"/>
      <c r="BW66" s="95"/>
      <c r="BX66" s="95"/>
      <c r="BY66" s="95"/>
      <c r="BZ66" s="95"/>
      <c r="CA66" s="95"/>
      <c r="CB66" s="95"/>
      <c r="CC66" s="95"/>
      <c r="CD66" s="95"/>
      <c r="CE66" s="95"/>
      <c r="CF66" s="95"/>
      <c r="CG66" s="95"/>
      <c r="CH66" s="95"/>
      <c r="CI66" s="95"/>
      <c r="CJ66" s="95"/>
      <c r="CK66" s="95"/>
      <c r="CL66" s="95"/>
      <c r="CM66" s="95"/>
      <c r="CN66" s="95"/>
      <c r="CO66" s="95"/>
      <c r="CP66" s="95"/>
      <c r="CQ66" s="95"/>
      <c r="CR66" s="95"/>
      <c r="CS66" s="95"/>
      <c r="CT66" s="95"/>
      <c r="CU66" s="95"/>
      <c r="CV66" s="95"/>
      <c r="CW66" s="95"/>
      <c r="CX66" s="95"/>
      <c r="CY66" s="95"/>
      <c r="CZ66" s="95"/>
      <c r="DA66" s="95"/>
      <c r="DB66" s="95"/>
      <c r="DC66" s="95"/>
      <c r="DD66" s="95"/>
      <c r="DE66" s="95"/>
      <c r="DF66" s="95"/>
      <c r="DG66" s="95"/>
      <c r="DH66" s="95"/>
      <c r="DI66" s="95"/>
      <c r="DJ66" s="95"/>
      <c r="DK66" s="95"/>
      <c r="DL66" s="95"/>
      <c r="DM66" s="95"/>
      <c r="DN66" s="95"/>
      <c r="DO66" s="95"/>
      <c r="DP66" s="95"/>
      <c r="DQ66" s="95"/>
      <c r="DR66" s="95"/>
      <c r="DS66" s="95"/>
      <c r="DT66" s="95"/>
      <c r="DU66" s="95"/>
      <c r="DV66" s="95"/>
      <c r="DW66" s="95"/>
      <c r="DX66" s="95"/>
      <c r="DY66" s="95"/>
      <c r="DZ66" s="95"/>
      <c r="EA66" s="95"/>
      <c r="EB66" s="95"/>
      <c r="EC66" s="95"/>
      <c r="ED66" s="95"/>
      <c r="EE66" s="95"/>
      <c r="EF66" s="95"/>
      <c r="EG66" s="95"/>
      <c r="EH66" s="95"/>
      <c r="EI66" s="95"/>
      <c r="EJ66" s="95"/>
      <c r="EK66" s="95"/>
      <c r="EL66" s="95"/>
      <c r="EM66" s="95"/>
      <c r="EN66" s="95"/>
      <c r="EO66" s="95"/>
      <c r="EP66" s="95"/>
      <c r="EQ66" s="95"/>
      <c r="ER66" s="95"/>
      <c r="ES66" s="95"/>
      <c r="ET66" s="95"/>
      <c r="EU66" s="95"/>
      <c r="EV66" s="95"/>
      <c r="EW66" s="95"/>
      <c r="EX66" s="95"/>
      <c r="EY66" s="95"/>
      <c r="EZ66" s="95"/>
      <c r="FA66" s="95"/>
      <c r="FB66" s="95"/>
      <c r="FC66" s="95"/>
      <c r="FD66" s="95"/>
      <c r="FE66" s="95"/>
      <c r="FF66" s="95"/>
      <c r="FG66" s="95"/>
      <c r="FH66" s="95"/>
      <c r="FI66" s="95"/>
      <c r="FJ66" s="95"/>
      <c r="FK66" s="95"/>
      <c r="FL66" s="95"/>
      <c r="FM66" s="95"/>
      <c r="FN66" s="95"/>
      <c r="FO66" s="95"/>
      <c r="FP66" s="95"/>
      <c r="FQ66" s="95"/>
      <c r="FR66" s="95"/>
      <c r="FS66" s="95"/>
      <c r="FT66" s="95"/>
      <c r="FU66" s="95"/>
      <c r="FV66" s="95"/>
      <c r="FW66" s="95"/>
      <c r="FX66" s="95"/>
      <c r="FY66" s="95"/>
      <c r="FZ66" s="95"/>
      <c r="GA66" s="95"/>
      <c r="GB66" s="95"/>
      <c r="GC66" s="95"/>
      <c r="GD66" s="95"/>
      <c r="GE66" s="95"/>
      <c r="GF66" s="95"/>
      <c r="GG66" s="95"/>
      <c r="GH66" s="95"/>
      <c r="GI66" s="95"/>
      <c r="GJ66" s="95"/>
      <c r="GK66" s="95"/>
      <c r="GL66" s="95"/>
      <c r="GM66" s="95"/>
      <c r="GN66" s="95"/>
      <c r="GO66" s="95"/>
      <c r="GP66" s="95"/>
      <c r="GQ66" s="95"/>
      <c r="GR66" s="95"/>
      <c r="GS66" s="95"/>
      <c r="GT66" s="95"/>
      <c r="GU66" s="95"/>
      <c r="GV66" s="95"/>
      <c r="GW66" s="95"/>
      <c r="GX66" s="95"/>
      <c r="GY66" s="95"/>
      <c r="GZ66" s="95"/>
      <c r="HA66" s="95"/>
      <c r="HB66" s="95"/>
      <c r="HC66" s="95"/>
      <c r="HD66" s="95"/>
      <c r="HE66" s="95"/>
      <c r="HF66" s="95"/>
      <c r="HG66" s="95"/>
      <c r="HH66" s="95"/>
      <c r="HI66" s="95"/>
      <c r="HJ66" s="95"/>
      <c r="HK66" s="95"/>
      <c r="HL66" s="95"/>
      <c r="HM66" s="95"/>
      <c r="HN66" s="95"/>
      <c r="HO66" s="95"/>
      <c r="HP66" s="95"/>
      <c r="HQ66" s="95"/>
      <c r="HR66" s="95"/>
      <c r="HS66" s="95"/>
      <c r="HT66" s="95"/>
      <c r="HU66" s="95"/>
      <c r="HV66" s="95"/>
      <c r="HW66" s="95"/>
      <c r="HX66" s="95"/>
      <c r="HY66" s="95"/>
      <c r="HZ66" s="95"/>
      <c r="IA66" s="95"/>
      <c r="IB66" s="95"/>
      <c r="IC66" s="95"/>
      <c r="ID66" s="95"/>
      <c r="IE66" s="95"/>
      <c r="IF66" s="95"/>
      <c r="IG66" s="95"/>
      <c r="IH66" s="95"/>
      <c r="II66" s="95"/>
      <c r="IJ66" s="95"/>
      <c r="IK66" s="95"/>
      <c r="IL66" s="95"/>
      <c r="IM66" s="95"/>
      <c r="IN66" s="95"/>
      <c r="IO66" s="95"/>
      <c r="IP66" s="95"/>
      <c r="IQ66" s="95"/>
      <c r="IR66" s="95"/>
    </row>
    <row r="67" spans="1:252" ht="15.6" x14ac:dyDescent="0.3">
      <c r="A67" s="103" t="s">
        <v>160</v>
      </c>
      <c r="B67" s="104" t="s">
        <v>86</v>
      </c>
      <c r="C67" s="104" t="s">
        <v>162</v>
      </c>
      <c r="D67" s="105" t="s">
        <v>163</v>
      </c>
      <c r="E67" s="99">
        <v>64.34</v>
      </c>
      <c r="F67" s="100">
        <v>443.48</v>
      </c>
      <c r="G67" s="101">
        <f>($C$26*F67)/$K$19</f>
        <v>0.14102009666751464</v>
      </c>
      <c r="H67" s="100">
        <v>42.99</v>
      </c>
      <c r="I67" s="101">
        <f>(E26*H67)/$K$19</f>
        <v>0</v>
      </c>
      <c r="J67" s="100">
        <v>46.21</v>
      </c>
      <c r="K67" s="101">
        <f>($C$26*J67)/$K$19</f>
        <v>1.4694098193843807E-2</v>
      </c>
      <c r="L67" s="100">
        <v>193.14</v>
      </c>
      <c r="M67" s="101">
        <f>($C$26*L67)/$K$19</f>
        <v>6.1415670312897477E-2</v>
      </c>
      <c r="N67" s="100">
        <v>18.75</v>
      </c>
      <c r="O67" s="101">
        <f>($C$26*N67)/$K$19</f>
        <v>5.9622233528364285E-3</v>
      </c>
      <c r="P67" s="95"/>
      <c r="Q67" s="95"/>
      <c r="R67" s="103" t="s">
        <v>160</v>
      </c>
      <c r="S67" s="104" t="s">
        <v>86</v>
      </c>
      <c r="T67" s="104" t="s">
        <v>162</v>
      </c>
      <c r="U67" s="105" t="s">
        <v>163</v>
      </c>
      <c r="V67" s="99">
        <v>64.34</v>
      </c>
      <c r="W67" s="100">
        <v>443.48</v>
      </c>
      <c r="X67" s="101">
        <f>($U$27*W67)/$S$41</f>
        <v>0.14102009666751464</v>
      </c>
      <c r="Y67" s="100">
        <v>42.99</v>
      </c>
      <c r="Z67" s="101">
        <f>($U$27*Y67)/$S$41</f>
        <v>1.3670185703383363E-2</v>
      </c>
      <c r="AA67" s="100">
        <v>46.21</v>
      </c>
      <c r="AB67" s="101">
        <f>($U$27*AA67)/$S$41</f>
        <v>1.4694098193843808E-2</v>
      </c>
      <c r="AC67" s="100">
        <v>193.14</v>
      </c>
      <c r="AD67" s="101">
        <f>($U$27*AC67)/$S$41</f>
        <v>6.1415670312897477E-2</v>
      </c>
      <c r="AE67" s="100">
        <v>18.75</v>
      </c>
      <c r="AF67" s="101">
        <f>($U$27*AE67)/$S$41</f>
        <v>5.9622233528364285E-3</v>
      </c>
      <c r="AG67" s="95"/>
      <c r="AH67" s="95"/>
      <c r="AI67" s="95"/>
      <c r="AJ67" s="95"/>
      <c r="AK67" s="95"/>
      <c r="AL67" s="95"/>
      <c r="AM67" s="95"/>
      <c r="AN67" s="95"/>
      <c r="AO67" s="95"/>
      <c r="AP67" s="95"/>
      <c r="AQ67" s="95"/>
      <c r="AR67" s="95"/>
      <c r="AS67" s="95"/>
      <c r="AT67" s="95"/>
      <c r="AU67" s="95"/>
      <c r="AV67" s="95"/>
      <c r="AW67" s="95"/>
      <c r="AX67" s="95"/>
      <c r="AY67" s="95"/>
      <c r="AZ67" s="95"/>
      <c r="BA67" s="95"/>
      <c r="BB67" s="95"/>
      <c r="BC67" s="95"/>
      <c r="BD67" s="95"/>
      <c r="BE67" s="95"/>
      <c r="BF67" s="95"/>
      <c r="BG67" s="95"/>
      <c r="BH67" s="95"/>
      <c r="BI67" s="95"/>
      <c r="BJ67" s="95"/>
      <c r="BK67" s="95"/>
      <c r="BL67" s="95"/>
      <c r="BM67" s="95"/>
      <c r="BN67" s="95"/>
      <c r="BO67" s="95"/>
      <c r="BP67" s="95"/>
      <c r="BQ67" s="95"/>
      <c r="BR67" s="95"/>
      <c r="BS67" s="95"/>
      <c r="BT67" s="95"/>
      <c r="BU67" s="95"/>
      <c r="BV67" s="95"/>
      <c r="BW67" s="95"/>
      <c r="BX67" s="95"/>
      <c r="BY67" s="95"/>
      <c r="BZ67" s="95"/>
      <c r="CA67" s="95"/>
      <c r="CB67" s="95"/>
      <c r="CC67" s="95"/>
      <c r="CD67" s="95"/>
      <c r="CE67" s="95"/>
      <c r="CF67" s="95"/>
      <c r="CG67" s="95"/>
      <c r="CH67" s="95"/>
      <c r="CI67" s="95"/>
      <c r="CJ67" s="95"/>
      <c r="CK67" s="95"/>
      <c r="CL67" s="95"/>
      <c r="CM67" s="95"/>
      <c r="CN67" s="95"/>
      <c r="CO67" s="95"/>
      <c r="CP67" s="95"/>
      <c r="CQ67" s="95"/>
      <c r="CR67" s="95"/>
      <c r="CS67" s="95"/>
      <c r="CT67" s="95"/>
      <c r="CU67" s="95"/>
      <c r="CV67" s="95"/>
      <c r="CW67" s="95"/>
      <c r="CX67" s="95"/>
      <c r="CY67" s="95"/>
      <c r="CZ67" s="95"/>
      <c r="DA67" s="95"/>
      <c r="DB67" s="95"/>
      <c r="DC67" s="95"/>
      <c r="DD67" s="95"/>
      <c r="DE67" s="95"/>
      <c r="DF67" s="95"/>
      <c r="DG67" s="95"/>
      <c r="DH67" s="95"/>
      <c r="DI67" s="95"/>
      <c r="DJ67" s="95"/>
      <c r="DK67" s="95"/>
      <c r="DL67" s="95"/>
      <c r="DM67" s="95"/>
      <c r="DN67" s="95"/>
      <c r="DO67" s="95"/>
      <c r="DP67" s="95"/>
      <c r="DQ67" s="95"/>
      <c r="DR67" s="95"/>
      <c r="DS67" s="95"/>
      <c r="DT67" s="95"/>
      <c r="DU67" s="95"/>
      <c r="DV67" s="95"/>
      <c r="DW67" s="95"/>
      <c r="DX67" s="95"/>
      <c r="DY67" s="95"/>
      <c r="DZ67" s="95"/>
      <c r="EA67" s="95"/>
      <c r="EB67" s="95"/>
      <c r="EC67" s="95"/>
      <c r="ED67" s="95"/>
      <c r="EE67" s="95"/>
      <c r="EF67" s="95"/>
      <c r="EG67" s="95"/>
      <c r="EH67" s="95"/>
      <c r="EI67" s="95"/>
      <c r="EJ67" s="95"/>
      <c r="EK67" s="95"/>
      <c r="EL67" s="95"/>
      <c r="EM67" s="95"/>
      <c r="EN67" s="95"/>
      <c r="EO67" s="95"/>
      <c r="EP67" s="95"/>
      <c r="EQ67" s="95"/>
      <c r="ER67" s="95"/>
      <c r="ES67" s="95"/>
      <c r="ET67" s="95"/>
      <c r="EU67" s="95"/>
      <c r="EV67" s="95"/>
      <c r="EW67" s="95"/>
      <c r="EX67" s="95"/>
      <c r="EY67" s="95"/>
      <c r="EZ67" s="95"/>
      <c r="FA67" s="95"/>
      <c r="FB67" s="95"/>
      <c r="FC67" s="95"/>
      <c r="FD67" s="95"/>
      <c r="FE67" s="95"/>
      <c r="FF67" s="95"/>
      <c r="FG67" s="95"/>
      <c r="FH67" s="95"/>
      <c r="FI67" s="95"/>
      <c r="FJ67" s="95"/>
      <c r="FK67" s="95"/>
      <c r="FL67" s="95"/>
      <c r="FM67" s="95"/>
      <c r="FN67" s="95"/>
      <c r="FO67" s="95"/>
      <c r="FP67" s="95"/>
      <c r="FQ67" s="95"/>
      <c r="FR67" s="95"/>
      <c r="FS67" s="95"/>
      <c r="FT67" s="95"/>
      <c r="FU67" s="95"/>
      <c r="FV67" s="95"/>
      <c r="FW67" s="95"/>
      <c r="FX67" s="95"/>
      <c r="FY67" s="95"/>
      <c r="FZ67" s="95"/>
      <c r="GA67" s="95"/>
      <c r="GB67" s="95"/>
      <c r="GC67" s="95"/>
      <c r="GD67" s="95"/>
      <c r="GE67" s="95"/>
      <c r="GF67" s="95"/>
      <c r="GG67" s="95"/>
      <c r="GH67" s="95"/>
      <c r="GI67" s="95"/>
      <c r="GJ67" s="95"/>
      <c r="GK67" s="95"/>
      <c r="GL67" s="95"/>
      <c r="GM67" s="95"/>
      <c r="GN67" s="95"/>
      <c r="GO67" s="95"/>
      <c r="GP67" s="95"/>
      <c r="GQ67" s="95"/>
      <c r="GR67" s="95"/>
      <c r="GS67" s="95"/>
      <c r="GT67" s="95"/>
      <c r="GU67" s="95"/>
      <c r="GV67" s="95"/>
      <c r="GW67" s="95"/>
      <c r="GX67" s="95"/>
      <c r="GY67" s="95"/>
      <c r="GZ67" s="95"/>
      <c r="HA67" s="95"/>
      <c r="HB67" s="95"/>
      <c r="HC67" s="95"/>
      <c r="HD67" s="95"/>
      <c r="HE67" s="95"/>
      <c r="HF67" s="95"/>
      <c r="HG67" s="95"/>
      <c r="HH67" s="95"/>
      <c r="HI67" s="95"/>
      <c r="HJ67" s="95"/>
      <c r="HK67" s="95"/>
      <c r="HL67" s="95"/>
      <c r="HM67" s="95"/>
      <c r="HN67" s="95"/>
      <c r="HO67" s="95"/>
      <c r="HP67" s="95"/>
      <c r="HQ67" s="95"/>
      <c r="HR67" s="95"/>
      <c r="HS67" s="95"/>
      <c r="HT67" s="95"/>
      <c r="HU67" s="95"/>
      <c r="HV67" s="95"/>
      <c r="HW67" s="95"/>
      <c r="HX67" s="95"/>
      <c r="HY67" s="95"/>
      <c r="HZ67" s="95"/>
      <c r="IA67" s="95"/>
      <c r="IB67" s="95"/>
      <c r="IC67" s="95"/>
      <c r="ID67" s="95"/>
      <c r="IE67" s="95"/>
      <c r="IF67" s="95"/>
      <c r="IG67" s="95"/>
      <c r="IH67" s="95"/>
      <c r="II67" s="95"/>
      <c r="IJ67" s="95"/>
      <c r="IK67" s="95"/>
      <c r="IL67" s="95"/>
      <c r="IM67" s="95"/>
      <c r="IN67" s="95"/>
      <c r="IO67" s="95"/>
      <c r="IP67" s="95"/>
      <c r="IQ67" s="95"/>
      <c r="IR67" s="95"/>
    </row>
    <row r="68" spans="1:252" ht="15.6" x14ac:dyDescent="0.3">
      <c r="A68" s="103" t="s">
        <v>160</v>
      </c>
      <c r="B68" s="104" t="s">
        <v>86</v>
      </c>
      <c r="C68" s="104" t="s">
        <v>164</v>
      </c>
      <c r="D68" s="105" t="s">
        <v>165</v>
      </c>
      <c r="E68" s="99">
        <v>64.34</v>
      </c>
      <c r="F68" s="100">
        <v>201.03</v>
      </c>
      <c r="G68" s="101">
        <f>($C$27*F68)/$K$19</f>
        <v>0.16620389213940473</v>
      </c>
      <c r="H68" s="100">
        <v>42.99</v>
      </c>
      <c r="I68" s="101">
        <f>(E27*H68)/$K$19</f>
        <v>0</v>
      </c>
      <c r="J68" s="100">
        <v>11.09</v>
      </c>
      <c r="K68" s="101">
        <f>($C$27*J68)/$K$19</f>
        <v>9.1687865683032291E-3</v>
      </c>
      <c r="L68" s="100">
        <v>193.14</v>
      </c>
      <c r="M68" s="101">
        <f>($C$27*L68)/$K$19</f>
        <v>0.15968074281353342</v>
      </c>
      <c r="N68" s="102">
        <v>8.49</v>
      </c>
      <c r="O68" s="101">
        <f>($C$27*N68)/$K$19</f>
        <v>7.0192063088272711E-3</v>
      </c>
      <c r="P68" s="95"/>
      <c r="Q68" s="95"/>
      <c r="R68" s="103" t="s">
        <v>160</v>
      </c>
      <c r="S68" s="104" t="s">
        <v>86</v>
      </c>
      <c r="T68" s="104" t="s">
        <v>164</v>
      </c>
      <c r="U68" s="105" t="s">
        <v>165</v>
      </c>
      <c r="V68" s="99">
        <v>64.34</v>
      </c>
      <c r="W68" s="100">
        <v>201.03</v>
      </c>
      <c r="X68" s="101">
        <f>($U$28*W68)/$S$41</f>
        <v>0.16620389213940473</v>
      </c>
      <c r="Y68" s="100">
        <v>42.99</v>
      </c>
      <c r="Z68" s="101">
        <f>($U$28*Y68)/$S$41</f>
        <v>3.5542482828796747E-2</v>
      </c>
      <c r="AA68" s="100">
        <v>11.09</v>
      </c>
      <c r="AB68" s="101">
        <f>($U$28*AA68)/$S$41</f>
        <v>9.1687865683032308E-3</v>
      </c>
      <c r="AC68" s="100">
        <v>193.14</v>
      </c>
      <c r="AD68" s="101">
        <f>($U$28*AC68)/$S$41</f>
        <v>0.15968074281353345</v>
      </c>
      <c r="AE68" s="102">
        <v>8.49</v>
      </c>
      <c r="AF68" s="101">
        <f>($U$28*AE68)/$S$41</f>
        <v>7.0192063088272711E-3</v>
      </c>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c r="BE68" s="95"/>
      <c r="BF68" s="95"/>
      <c r="BG68" s="95"/>
      <c r="BH68" s="95"/>
      <c r="BI68" s="95"/>
      <c r="BJ68" s="95"/>
      <c r="BK68" s="95"/>
      <c r="BL68" s="95"/>
      <c r="BM68" s="95"/>
      <c r="BN68" s="95"/>
      <c r="BO68" s="95"/>
      <c r="BP68" s="95"/>
      <c r="BQ68" s="95"/>
      <c r="BR68" s="95"/>
      <c r="BS68" s="95"/>
      <c r="BT68" s="95"/>
      <c r="BU68" s="95"/>
      <c r="BV68" s="95"/>
      <c r="BW68" s="95"/>
      <c r="BX68" s="95"/>
      <c r="BY68" s="95"/>
      <c r="BZ68" s="95"/>
      <c r="CA68" s="95"/>
      <c r="CB68" s="95"/>
      <c r="CC68" s="95"/>
      <c r="CD68" s="95"/>
      <c r="CE68" s="95"/>
      <c r="CF68" s="95"/>
      <c r="CG68" s="95"/>
      <c r="CH68" s="95"/>
      <c r="CI68" s="95"/>
      <c r="CJ68" s="95"/>
      <c r="CK68" s="95"/>
      <c r="CL68" s="95"/>
      <c r="CM68" s="95"/>
      <c r="CN68" s="95"/>
      <c r="CO68" s="95"/>
      <c r="CP68" s="95"/>
      <c r="CQ68" s="95"/>
      <c r="CR68" s="95"/>
      <c r="CS68" s="95"/>
      <c r="CT68" s="95"/>
      <c r="CU68" s="95"/>
      <c r="CV68" s="95"/>
      <c r="CW68" s="95"/>
      <c r="CX68" s="95"/>
      <c r="CY68" s="95"/>
      <c r="CZ68" s="95"/>
      <c r="DA68" s="95"/>
      <c r="DB68" s="95"/>
      <c r="DC68" s="95"/>
      <c r="DD68" s="95"/>
      <c r="DE68" s="95"/>
      <c r="DF68" s="95"/>
      <c r="DG68" s="95"/>
      <c r="DH68" s="95"/>
      <c r="DI68" s="95"/>
      <c r="DJ68" s="95"/>
      <c r="DK68" s="95"/>
      <c r="DL68" s="95"/>
      <c r="DM68" s="95"/>
      <c r="DN68" s="95"/>
      <c r="DO68" s="95"/>
      <c r="DP68" s="95"/>
      <c r="DQ68" s="95"/>
      <c r="DR68" s="95"/>
      <c r="DS68" s="95"/>
      <c r="DT68" s="95"/>
      <c r="DU68" s="95"/>
      <c r="DV68" s="95"/>
      <c r="DW68" s="95"/>
      <c r="DX68" s="95"/>
      <c r="DY68" s="95"/>
      <c r="DZ68" s="95"/>
      <c r="EA68" s="95"/>
      <c r="EB68" s="95"/>
      <c r="EC68" s="95"/>
      <c r="ED68" s="95"/>
      <c r="EE68" s="95"/>
      <c r="EF68" s="95"/>
      <c r="EG68" s="95"/>
      <c r="EH68" s="95"/>
      <c r="EI68" s="95"/>
      <c r="EJ68" s="95"/>
      <c r="EK68" s="95"/>
      <c r="EL68" s="95"/>
      <c r="EM68" s="95"/>
      <c r="EN68" s="95"/>
      <c r="EO68" s="95"/>
      <c r="EP68" s="95"/>
      <c r="EQ68" s="95"/>
      <c r="ER68" s="95"/>
      <c r="ES68" s="95"/>
      <c r="ET68" s="95"/>
      <c r="EU68" s="95"/>
      <c r="EV68" s="95"/>
      <c r="EW68" s="95"/>
      <c r="EX68" s="95"/>
      <c r="EY68" s="95"/>
      <c r="EZ68" s="95"/>
      <c r="FA68" s="95"/>
      <c r="FB68" s="95"/>
      <c r="FC68" s="95"/>
      <c r="FD68" s="95"/>
      <c r="FE68" s="95"/>
      <c r="FF68" s="95"/>
      <c r="FG68" s="95"/>
      <c r="FH68" s="95"/>
      <c r="FI68" s="95"/>
      <c r="FJ68" s="95"/>
      <c r="FK68" s="95"/>
      <c r="FL68" s="95"/>
      <c r="FM68" s="95"/>
      <c r="FN68" s="95"/>
      <c r="FO68" s="95"/>
      <c r="FP68" s="95"/>
      <c r="FQ68" s="95"/>
      <c r="FR68" s="95"/>
      <c r="FS68" s="95"/>
      <c r="FT68" s="95"/>
      <c r="FU68" s="95"/>
      <c r="FV68" s="95"/>
      <c r="FW68" s="95"/>
      <c r="FX68" s="95"/>
      <c r="FY68" s="95"/>
      <c r="FZ68" s="95"/>
      <c r="GA68" s="95"/>
      <c r="GB68" s="95"/>
      <c r="GC68" s="95"/>
      <c r="GD68" s="95"/>
      <c r="GE68" s="95"/>
      <c r="GF68" s="95"/>
      <c r="GG68" s="95"/>
      <c r="GH68" s="95"/>
      <c r="GI68" s="95"/>
      <c r="GJ68" s="95"/>
      <c r="GK68" s="95"/>
      <c r="GL68" s="95"/>
      <c r="GM68" s="95"/>
      <c r="GN68" s="95"/>
      <c r="GO68" s="95"/>
      <c r="GP68" s="95"/>
      <c r="GQ68" s="95"/>
      <c r="GR68" s="95"/>
      <c r="GS68" s="95"/>
      <c r="GT68" s="95"/>
      <c r="GU68" s="95"/>
      <c r="GV68" s="95"/>
      <c r="GW68" s="95"/>
      <c r="GX68" s="95"/>
      <c r="GY68" s="95"/>
      <c r="GZ68" s="95"/>
      <c r="HA68" s="95"/>
      <c r="HB68" s="95"/>
      <c r="HC68" s="95"/>
      <c r="HD68" s="95"/>
      <c r="HE68" s="95"/>
      <c r="HF68" s="95"/>
      <c r="HG68" s="95"/>
      <c r="HH68" s="95"/>
      <c r="HI68" s="95"/>
      <c r="HJ68" s="95"/>
      <c r="HK68" s="95"/>
      <c r="HL68" s="95"/>
      <c r="HM68" s="95"/>
      <c r="HN68" s="95"/>
      <c r="HO68" s="95"/>
      <c r="HP68" s="95"/>
      <c r="HQ68" s="95"/>
      <c r="HR68" s="95"/>
      <c r="HS68" s="95"/>
      <c r="HT68" s="95"/>
      <c r="HU68" s="95"/>
      <c r="HV68" s="95"/>
      <c r="HW68" s="95"/>
      <c r="HX68" s="95"/>
      <c r="HY68" s="95"/>
      <c r="HZ68" s="95"/>
      <c r="IA68" s="95"/>
      <c r="IB68" s="95"/>
      <c r="IC68" s="95"/>
      <c r="ID68" s="95"/>
      <c r="IE68" s="95"/>
      <c r="IF68" s="95"/>
      <c r="IG68" s="95"/>
      <c r="IH68" s="95"/>
      <c r="II68" s="95"/>
      <c r="IJ68" s="95"/>
      <c r="IK68" s="95"/>
      <c r="IL68" s="95"/>
      <c r="IM68" s="95"/>
      <c r="IN68" s="95"/>
      <c r="IO68" s="95"/>
      <c r="IP68" s="95"/>
      <c r="IQ68" s="95"/>
      <c r="IR68" s="95"/>
    </row>
    <row r="69" spans="1:252" ht="15.6" x14ac:dyDescent="0.3">
      <c r="A69" s="103" t="s">
        <v>160</v>
      </c>
      <c r="B69" s="104" t="s">
        <v>86</v>
      </c>
      <c r="C69" s="104" t="s">
        <v>69</v>
      </c>
      <c r="D69" s="105" t="s">
        <v>166</v>
      </c>
      <c r="E69" s="99">
        <v>64.34</v>
      </c>
      <c r="F69" s="100">
        <v>108.63</v>
      </c>
      <c r="G69" s="101">
        <f>($C$28*F69)/$K$19</f>
        <v>4.8359832103790384E-2</v>
      </c>
      <c r="H69" s="100">
        <v>41.78</v>
      </c>
      <c r="I69" s="101">
        <f>(E28*H69)/$K$19</f>
        <v>0</v>
      </c>
      <c r="J69" s="102">
        <v>2.81</v>
      </c>
      <c r="K69" s="101">
        <f>($C$28*J69)/$K$19</f>
        <v>1.2509539557364539E-3</v>
      </c>
      <c r="L69" s="100">
        <v>193.14</v>
      </c>
      <c r="M69" s="101">
        <f>($C$28*L69)/$K$19</f>
        <v>8.5981938438056474E-2</v>
      </c>
      <c r="N69" s="102">
        <v>3.74</v>
      </c>
      <c r="O69" s="101">
        <f>($C$28*N69)/$K$19</f>
        <v>1.6649707453574153E-3</v>
      </c>
      <c r="P69" s="95"/>
      <c r="Q69" s="95"/>
      <c r="R69" s="103" t="s">
        <v>160</v>
      </c>
      <c r="S69" s="104" t="s">
        <v>86</v>
      </c>
      <c r="T69" s="104" t="s">
        <v>69</v>
      </c>
      <c r="U69" s="105" t="s">
        <v>166</v>
      </c>
      <c r="V69" s="99">
        <v>64.34</v>
      </c>
      <c r="W69" s="100">
        <v>108.63</v>
      </c>
      <c r="X69" s="101">
        <f>($U$29*W69)/$S$41</f>
        <v>4.8359832103790384E-2</v>
      </c>
      <c r="Y69" s="100">
        <v>41.78</v>
      </c>
      <c r="Z69" s="101">
        <f>($U$29*Y69)/$S$41</f>
        <v>1.8599592978885783E-2</v>
      </c>
      <c r="AA69" s="102">
        <v>2.81</v>
      </c>
      <c r="AB69" s="101">
        <f>($U$29*AA69)/$S$41</f>
        <v>1.2509539557364537E-3</v>
      </c>
      <c r="AC69" s="100">
        <v>193.14</v>
      </c>
      <c r="AD69" s="101">
        <f>($U$29*AC69)/$S$41</f>
        <v>8.598193843805646E-2</v>
      </c>
      <c r="AE69" s="102">
        <v>3.74</v>
      </c>
      <c r="AF69" s="101">
        <f>($U$29*AE69)/$S$41</f>
        <v>1.6649707453574155E-3</v>
      </c>
      <c r="AG69" s="95"/>
      <c r="AH69" s="95"/>
      <c r="AI69" s="95"/>
      <c r="AJ69" s="95"/>
      <c r="AK69" s="95"/>
      <c r="AL69" s="95"/>
      <c r="AM69" s="95"/>
      <c r="AN69" s="95"/>
      <c r="AO69" s="95"/>
      <c r="AP69" s="95"/>
      <c r="AQ69" s="95"/>
      <c r="AR69" s="95"/>
      <c r="AS69" s="95"/>
      <c r="AT69" s="95"/>
      <c r="AU69" s="95"/>
      <c r="AV69" s="95"/>
      <c r="AW69" s="95"/>
      <c r="AX69" s="95"/>
      <c r="AY69" s="95"/>
      <c r="AZ69" s="95"/>
      <c r="BA69" s="95"/>
      <c r="BB69" s="95"/>
      <c r="BC69" s="95"/>
      <c r="BD69" s="95"/>
      <c r="BE69" s="95"/>
      <c r="BF69" s="95"/>
      <c r="BG69" s="95"/>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5"/>
      <c r="CH69" s="95"/>
      <c r="CI69" s="95"/>
      <c r="CJ69" s="95"/>
      <c r="CK69" s="95"/>
      <c r="CL69" s="95"/>
      <c r="CM69" s="95"/>
      <c r="CN69" s="95"/>
      <c r="CO69" s="95"/>
      <c r="CP69" s="95"/>
      <c r="CQ69" s="95"/>
      <c r="CR69" s="95"/>
      <c r="CS69" s="95"/>
      <c r="CT69" s="95"/>
      <c r="CU69" s="95"/>
      <c r="CV69" s="95"/>
      <c r="CW69" s="95"/>
      <c r="CX69" s="95"/>
      <c r="CY69" s="95"/>
      <c r="CZ69" s="95"/>
      <c r="DA69" s="95"/>
      <c r="DB69" s="95"/>
      <c r="DC69" s="95"/>
      <c r="DD69" s="95"/>
      <c r="DE69" s="95"/>
      <c r="DF69" s="95"/>
      <c r="DG69" s="95"/>
      <c r="DH69" s="95"/>
      <c r="DI69" s="95"/>
      <c r="DJ69" s="95"/>
      <c r="DK69" s="95"/>
      <c r="DL69" s="95"/>
      <c r="DM69" s="95"/>
      <c r="DN69" s="95"/>
      <c r="DO69" s="95"/>
      <c r="DP69" s="95"/>
      <c r="DQ69" s="95"/>
      <c r="DR69" s="95"/>
      <c r="DS69" s="95"/>
      <c r="DT69" s="95"/>
      <c r="DU69" s="95"/>
      <c r="DV69" s="95"/>
      <c r="DW69" s="95"/>
      <c r="DX69" s="95"/>
      <c r="DY69" s="95"/>
      <c r="DZ69" s="95"/>
      <c r="EA69" s="95"/>
      <c r="EB69" s="95"/>
      <c r="EC69" s="95"/>
      <c r="ED69" s="95"/>
      <c r="EE69" s="95"/>
      <c r="EF69" s="95"/>
      <c r="EG69" s="95"/>
      <c r="EH69" s="95"/>
      <c r="EI69" s="95"/>
      <c r="EJ69" s="95"/>
      <c r="EK69" s="95"/>
      <c r="EL69" s="95"/>
      <c r="EM69" s="95"/>
      <c r="EN69" s="95"/>
      <c r="EO69" s="95"/>
      <c r="EP69" s="95"/>
      <c r="EQ69" s="95"/>
      <c r="ER69" s="95"/>
      <c r="ES69" s="95"/>
      <c r="ET69" s="95"/>
      <c r="EU69" s="95"/>
      <c r="EV69" s="95"/>
      <c r="EW69" s="95"/>
      <c r="EX69" s="95"/>
      <c r="EY69" s="95"/>
      <c r="EZ69" s="95"/>
      <c r="FA69" s="95"/>
      <c r="FB69" s="95"/>
      <c r="FC69" s="95"/>
      <c r="FD69" s="95"/>
      <c r="FE69" s="95"/>
      <c r="FF69" s="95"/>
      <c r="FG69" s="95"/>
      <c r="FH69" s="95"/>
      <c r="FI69" s="95"/>
      <c r="FJ69" s="95"/>
      <c r="FK69" s="95"/>
      <c r="FL69" s="95"/>
      <c r="FM69" s="95"/>
      <c r="FN69" s="95"/>
      <c r="FO69" s="95"/>
      <c r="FP69" s="95"/>
      <c r="FQ69" s="95"/>
      <c r="FR69" s="95"/>
      <c r="FS69" s="95"/>
      <c r="FT69" s="95"/>
      <c r="FU69" s="95"/>
      <c r="FV69" s="95"/>
      <c r="FW69" s="95"/>
      <c r="FX69" s="95"/>
      <c r="FY69" s="95"/>
      <c r="FZ69" s="95"/>
      <c r="GA69" s="95"/>
      <c r="GB69" s="95"/>
      <c r="GC69" s="95"/>
      <c r="GD69" s="95"/>
      <c r="GE69" s="95"/>
      <c r="GF69" s="95"/>
      <c r="GG69" s="95"/>
      <c r="GH69" s="95"/>
      <c r="GI69" s="95"/>
      <c r="GJ69" s="95"/>
      <c r="GK69" s="95"/>
      <c r="GL69" s="95"/>
      <c r="GM69" s="95"/>
      <c r="GN69" s="95"/>
      <c r="GO69" s="95"/>
      <c r="GP69" s="95"/>
      <c r="GQ69" s="95"/>
      <c r="GR69" s="95"/>
      <c r="GS69" s="95"/>
      <c r="GT69" s="95"/>
      <c r="GU69" s="95"/>
      <c r="GV69" s="95"/>
      <c r="GW69" s="95"/>
      <c r="GX69" s="95"/>
      <c r="GY69" s="95"/>
      <c r="GZ69" s="95"/>
      <c r="HA69" s="95"/>
      <c r="HB69" s="95"/>
      <c r="HC69" s="95"/>
      <c r="HD69" s="95"/>
      <c r="HE69" s="95"/>
      <c r="HF69" s="95"/>
      <c r="HG69" s="95"/>
      <c r="HH69" s="95"/>
      <c r="HI69" s="95"/>
      <c r="HJ69" s="95"/>
      <c r="HK69" s="95"/>
      <c r="HL69" s="95"/>
      <c r="HM69" s="95"/>
      <c r="HN69" s="95"/>
      <c r="HO69" s="95"/>
      <c r="HP69" s="95"/>
      <c r="HQ69" s="95"/>
      <c r="HR69" s="95"/>
      <c r="HS69" s="95"/>
      <c r="HT69" s="95"/>
      <c r="HU69" s="95"/>
      <c r="HV69" s="95"/>
      <c r="HW69" s="95"/>
      <c r="HX69" s="95"/>
      <c r="HY69" s="95"/>
      <c r="HZ69" s="95"/>
      <c r="IA69" s="95"/>
      <c r="IB69" s="95"/>
      <c r="IC69" s="95"/>
      <c r="ID69" s="95"/>
      <c r="IE69" s="95"/>
      <c r="IF69" s="95"/>
      <c r="IG69" s="95"/>
      <c r="IH69" s="95"/>
      <c r="II69" s="95"/>
      <c r="IJ69" s="95"/>
      <c r="IK69" s="95"/>
      <c r="IL69" s="95"/>
      <c r="IM69" s="95"/>
      <c r="IN69" s="95"/>
      <c r="IO69" s="95"/>
      <c r="IP69" s="95"/>
      <c r="IQ69" s="95"/>
      <c r="IR69" s="95"/>
    </row>
    <row r="70" spans="1:252" ht="15.6" x14ac:dyDescent="0.3">
      <c r="A70" s="103" t="s">
        <v>160</v>
      </c>
      <c r="B70" s="104" t="s">
        <v>86</v>
      </c>
      <c r="C70" s="104" t="s">
        <v>71</v>
      </c>
      <c r="D70" s="105" t="s">
        <v>167</v>
      </c>
      <c r="E70" s="99">
        <v>64.34</v>
      </c>
      <c r="F70" s="100">
        <v>62.37</v>
      </c>
      <c r="G70" s="101">
        <f>($C$29*F70)/$K$19</f>
        <v>0.45218646654795214</v>
      </c>
      <c r="H70" s="100">
        <v>41.78</v>
      </c>
      <c r="I70" s="101">
        <f>(E29*H70)/$K$19</f>
        <v>0</v>
      </c>
      <c r="J70" s="102">
        <v>1.81</v>
      </c>
      <c r="K70" s="101">
        <f>($C$29*J70)/$K$19</f>
        <v>1.3122615110658866E-2</v>
      </c>
      <c r="L70" s="100">
        <v>193.14</v>
      </c>
      <c r="M70" s="101">
        <f>($C$29*L70)/$K$19</f>
        <v>1.4002772831340626</v>
      </c>
      <c r="N70" s="102">
        <v>3.74</v>
      </c>
      <c r="O70" s="101">
        <f>($C$29*N70)/$K$19</f>
        <v>2.7115237852963624E-2</v>
      </c>
      <c r="P70" s="95"/>
      <c r="Q70" s="95"/>
      <c r="R70" s="103" t="s">
        <v>160</v>
      </c>
      <c r="S70" s="104" t="s">
        <v>86</v>
      </c>
      <c r="T70" s="104" t="s">
        <v>71</v>
      </c>
      <c r="U70" s="105" t="s">
        <v>167</v>
      </c>
      <c r="V70" s="99">
        <v>64.34</v>
      </c>
      <c r="W70" s="100">
        <v>62.37</v>
      </c>
      <c r="X70" s="101">
        <f>($U$30*W70)/$S$41</f>
        <v>0.45218646654795214</v>
      </c>
      <c r="Y70" s="100">
        <v>41.78</v>
      </c>
      <c r="Z70" s="101">
        <f>($U$30*Y70)/$S$41</f>
        <v>0.30290765708471129</v>
      </c>
      <c r="AA70" s="102">
        <v>1.81</v>
      </c>
      <c r="AB70" s="101">
        <f>($U$30*AA70)/$S$41</f>
        <v>1.3122615110658866E-2</v>
      </c>
      <c r="AC70" s="100">
        <v>193.14</v>
      </c>
      <c r="AD70" s="101">
        <f>($U$30*AC70)/$S$41</f>
        <v>1.4002772831340624</v>
      </c>
      <c r="AE70" s="102">
        <v>3.74</v>
      </c>
      <c r="AF70" s="101">
        <f>($U$30*AE70)/$S$41</f>
        <v>2.7115237852963624E-2</v>
      </c>
      <c r="AG70" s="95"/>
      <c r="AH70" s="95"/>
      <c r="AI70" s="95"/>
      <c r="AJ70" s="95"/>
      <c r="AK70" s="95"/>
      <c r="AL70" s="95"/>
      <c r="AM70" s="95"/>
      <c r="AN70" s="95"/>
      <c r="AO70" s="95"/>
      <c r="AP70" s="95"/>
      <c r="AQ70" s="95"/>
      <c r="AR70" s="95"/>
      <c r="AS70" s="95"/>
      <c r="AT70" s="95"/>
      <c r="AU70" s="95"/>
      <c r="AV70" s="95"/>
      <c r="AW70" s="95"/>
      <c r="AX70" s="95"/>
      <c r="AY70" s="95"/>
      <c r="AZ70" s="95"/>
      <c r="BA70" s="95"/>
      <c r="BB70" s="95"/>
      <c r="BC70" s="95"/>
      <c r="BD70" s="95"/>
      <c r="BE70" s="95"/>
      <c r="BF70" s="95"/>
      <c r="BG70" s="95"/>
      <c r="BH70" s="95"/>
      <c r="BI70" s="95"/>
      <c r="BJ70" s="95"/>
      <c r="BK70" s="95"/>
      <c r="BL70" s="95"/>
      <c r="BM70" s="95"/>
      <c r="BN70" s="95"/>
      <c r="BO70" s="95"/>
      <c r="BP70" s="95"/>
      <c r="BQ70" s="95"/>
      <c r="BR70" s="95"/>
      <c r="BS70" s="95"/>
      <c r="BT70" s="95"/>
      <c r="BU70" s="95"/>
      <c r="BV70" s="95"/>
      <c r="BW70" s="95"/>
      <c r="BX70" s="95"/>
      <c r="BY70" s="95"/>
      <c r="BZ70" s="95"/>
      <c r="CA70" s="95"/>
      <c r="CB70" s="95"/>
      <c r="CC70" s="95"/>
      <c r="CD70" s="95"/>
      <c r="CE70" s="95"/>
      <c r="CF70" s="95"/>
      <c r="CG70" s="95"/>
      <c r="CH70" s="95"/>
      <c r="CI70" s="95"/>
      <c r="CJ70" s="95"/>
      <c r="CK70" s="95"/>
      <c r="CL70" s="95"/>
      <c r="CM70" s="95"/>
      <c r="CN70" s="95"/>
      <c r="CO70" s="95"/>
      <c r="CP70" s="95"/>
      <c r="CQ70" s="95"/>
      <c r="CR70" s="95"/>
      <c r="CS70" s="95"/>
      <c r="CT70" s="95"/>
      <c r="CU70" s="95"/>
      <c r="CV70" s="95"/>
      <c r="CW70" s="95"/>
      <c r="CX70" s="95"/>
      <c r="CY70" s="95"/>
      <c r="CZ70" s="95"/>
      <c r="DA70" s="95"/>
      <c r="DB70" s="95"/>
      <c r="DC70" s="95"/>
      <c r="DD70" s="95"/>
      <c r="DE70" s="95"/>
      <c r="DF70" s="95"/>
      <c r="DG70" s="95"/>
      <c r="DH70" s="95"/>
      <c r="DI70" s="95"/>
      <c r="DJ70" s="95"/>
      <c r="DK70" s="95"/>
      <c r="DL70" s="95"/>
      <c r="DM70" s="95"/>
      <c r="DN70" s="95"/>
      <c r="DO70" s="95"/>
      <c r="DP70" s="95"/>
      <c r="DQ70" s="95"/>
      <c r="DR70" s="95"/>
      <c r="DS70" s="95"/>
      <c r="DT70" s="95"/>
      <c r="DU70" s="95"/>
      <c r="DV70" s="95"/>
      <c r="DW70" s="95"/>
      <c r="DX70" s="95"/>
      <c r="DY70" s="95"/>
      <c r="DZ70" s="95"/>
      <c r="EA70" s="95"/>
      <c r="EB70" s="95"/>
      <c r="EC70" s="95"/>
      <c r="ED70" s="95"/>
      <c r="EE70" s="95"/>
      <c r="EF70" s="95"/>
      <c r="EG70" s="95"/>
      <c r="EH70" s="95"/>
      <c r="EI70" s="95"/>
      <c r="EJ70" s="95"/>
      <c r="EK70" s="95"/>
      <c r="EL70" s="95"/>
      <c r="EM70" s="95"/>
      <c r="EN70" s="95"/>
      <c r="EO70" s="95"/>
      <c r="EP70" s="95"/>
      <c r="EQ70" s="95"/>
      <c r="ER70" s="95"/>
      <c r="ES70" s="95"/>
      <c r="ET70" s="95"/>
      <c r="EU70" s="95"/>
      <c r="EV70" s="95"/>
      <c r="EW70" s="95"/>
      <c r="EX70" s="95"/>
      <c r="EY70" s="95"/>
      <c r="EZ70" s="95"/>
      <c r="FA70" s="95"/>
      <c r="FB70" s="95"/>
      <c r="FC70" s="95"/>
      <c r="FD70" s="95"/>
      <c r="FE70" s="95"/>
      <c r="FF70" s="95"/>
      <c r="FG70" s="95"/>
      <c r="FH70" s="95"/>
      <c r="FI70" s="95"/>
      <c r="FJ70" s="95"/>
      <c r="FK70" s="95"/>
      <c r="FL70" s="95"/>
      <c r="FM70" s="95"/>
      <c r="FN70" s="95"/>
      <c r="FO70" s="95"/>
      <c r="FP70" s="95"/>
      <c r="FQ70" s="95"/>
      <c r="FR70" s="95"/>
      <c r="FS70" s="95"/>
      <c r="FT70" s="95"/>
      <c r="FU70" s="95"/>
      <c r="FV70" s="95"/>
      <c r="FW70" s="95"/>
      <c r="FX70" s="95"/>
      <c r="FY70" s="95"/>
      <c r="FZ70" s="95"/>
      <c r="GA70" s="95"/>
      <c r="GB70" s="95"/>
      <c r="GC70" s="95"/>
      <c r="GD70" s="95"/>
      <c r="GE70" s="95"/>
      <c r="GF70" s="95"/>
      <c r="GG70" s="95"/>
      <c r="GH70" s="95"/>
      <c r="GI70" s="95"/>
      <c r="GJ70" s="95"/>
      <c r="GK70" s="95"/>
      <c r="GL70" s="95"/>
      <c r="GM70" s="95"/>
      <c r="GN70" s="95"/>
      <c r="GO70" s="95"/>
      <c r="GP70" s="95"/>
      <c r="GQ70" s="95"/>
      <c r="GR70" s="95"/>
      <c r="GS70" s="95"/>
      <c r="GT70" s="95"/>
      <c r="GU70" s="95"/>
      <c r="GV70" s="95"/>
      <c r="GW70" s="95"/>
      <c r="GX70" s="95"/>
      <c r="GY70" s="95"/>
      <c r="GZ70" s="95"/>
      <c r="HA70" s="95"/>
      <c r="HB70" s="95"/>
      <c r="HC70" s="95"/>
      <c r="HD70" s="95"/>
      <c r="HE70" s="95"/>
      <c r="HF70" s="95"/>
      <c r="HG70" s="95"/>
      <c r="HH70" s="95"/>
      <c r="HI70" s="95"/>
      <c r="HJ70" s="95"/>
      <c r="HK70" s="95"/>
      <c r="HL70" s="95"/>
      <c r="HM70" s="95"/>
      <c r="HN70" s="95"/>
      <c r="HO70" s="95"/>
      <c r="HP70" s="95"/>
      <c r="HQ70" s="95"/>
      <c r="HR70" s="95"/>
      <c r="HS70" s="95"/>
      <c r="HT70" s="95"/>
      <c r="HU70" s="95"/>
      <c r="HV70" s="95"/>
      <c r="HW70" s="95"/>
      <c r="HX70" s="95"/>
      <c r="HY70" s="95"/>
      <c r="HZ70" s="95"/>
      <c r="IA70" s="95"/>
      <c r="IB70" s="95"/>
      <c r="IC70" s="95"/>
      <c r="ID70" s="95"/>
      <c r="IE70" s="95"/>
      <c r="IF70" s="95"/>
      <c r="IG70" s="95"/>
      <c r="IH70" s="95"/>
      <c r="II70" s="95"/>
      <c r="IJ70" s="95"/>
      <c r="IK70" s="95"/>
      <c r="IL70" s="95"/>
      <c r="IM70" s="95"/>
      <c r="IN70" s="95"/>
      <c r="IO70" s="95"/>
      <c r="IP70" s="95"/>
      <c r="IQ70" s="95"/>
      <c r="IR70" s="95"/>
    </row>
    <row r="71" spans="1:252" ht="15.6" x14ac:dyDescent="0.3">
      <c r="A71" s="103" t="s">
        <v>160</v>
      </c>
      <c r="B71" s="104" t="s">
        <v>86</v>
      </c>
      <c r="C71" s="104" t="s">
        <v>73</v>
      </c>
      <c r="D71" s="105" t="s">
        <v>168</v>
      </c>
      <c r="E71" s="99">
        <v>64.34</v>
      </c>
      <c r="F71" s="100">
        <v>51.95</v>
      </c>
      <c r="G71" s="101">
        <f>(($C$30+$C$31)*F71)/$K$19</f>
        <v>9.2508267616382603E-2</v>
      </c>
      <c r="H71" s="100">
        <v>42</v>
      </c>
      <c r="I71" s="101">
        <f>((E30+E31)*H71)/$K$19</f>
        <v>0</v>
      </c>
      <c r="J71" s="102">
        <v>1.81</v>
      </c>
      <c r="K71" s="101">
        <f>(($C$30+$C$31)*J71)/$K$19</f>
        <v>3.2230984482320021E-3</v>
      </c>
      <c r="L71" s="100">
        <v>193.14</v>
      </c>
      <c r="M71" s="101">
        <f>(($C$30+$C$31)*L71)/$K$19</f>
        <v>0.3439277537522259</v>
      </c>
      <c r="N71" s="102">
        <v>0.96</v>
      </c>
      <c r="O71" s="101">
        <f>(($C$30+$C$31)*N71)/$K$19</f>
        <v>1.7094886797252608E-3</v>
      </c>
      <c r="P71" s="95"/>
      <c r="Q71" s="95"/>
      <c r="R71" s="103" t="s">
        <v>160</v>
      </c>
      <c r="S71" s="104" t="s">
        <v>86</v>
      </c>
      <c r="T71" s="104" t="s">
        <v>73</v>
      </c>
      <c r="U71" s="105" t="s">
        <v>168</v>
      </c>
      <c r="V71" s="99">
        <v>64.34</v>
      </c>
      <c r="W71" s="100">
        <v>51.95</v>
      </c>
      <c r="X71" s="101">
        <f>(($U$31+$W$32)*W71)/$S$41</f>
        <v>3.8324853726787076</v>
      </c>
      <c r="Y71" s="100">
        <v>42</v>
      </c>
      <c r="Z71" s="101">
        <f>(($U$31+$U$32)*Y71)/$S$41</f>
        <v>7.479012973798016E-2</v>
      </c>
      <c r="AA71" s="102">
        <v>1.81</v>
      </c>
      <c r="AB71" s="101">
        <f>(($U$31+$U$32)*AA71)/$S$41</f>
        <v>3.2230984482320021E-3</v>
      </c>
      <c r="AC71" s="100">
        <v>193.14</v>
      </c>
      <c r="AD71" s="101">
        <f>(($U$31+$U$32)*AC71)/$S$41</f>
        <v>0.34392775375222584</v>
      </c>
      <c r="AE71" s="102">
        <v>0.96</v>
      </c>
      <c r="AF71" s="101">
        <f>(($U$31+$U$32)*AE71)/$S$41</f>
        <v>1.7094886797252606E-3</v>
      </c>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c r="BF71" s="95"/>
      <c r="BG71" s="95"/>
      <c r="BH71" s="95"/>
      <c r="BI71" s="95"/>
      <c r="BJ71" s="95"/>
      <c r="BK71" s="95"/>
      <c r="BL71" s="95"/>
      <c r="BM71" s="95"/>
      <c r="BN71" s="95"/>
      <c r="BO71" s="95"/>
      <c r="BP71" s="95"/>
      <c r="BQ71" s="95"/>
      <c r="BR71" s="95"/>
      <c r="BS71" s="95"/>
      <c r="BT71" s="95"/>
      <c r="BU71" s="95"/>
      <c r="BV71" s="95"/>
      <c r="BW71" s="95"/>
      <c r="BX71" s="95"/>
      <c r="BY71" s="95"/>
      <c r="BZ71" s="95"/>
      <c r="CA71" s="95"/>
      <c r="CB71" s="95"/>
      <c r="CC71" s="95"/>
      <c r="CD71" s="95"/>
      <c r="CE71" s="95"/>
      <c r="CF71" s="95"/>
      <c r="CG71" s="95"/>
      <c r="CH71" s="95"/>
      <c r="CI71" s="95"/>
      <c r="CJ71" s="95"/>
      <c r="CK71" s="95"/>
      <c r="CL71" s="95"/>
      <c r="CM71" s="95"/>
      <c r="CN71" s="95"/>
      <c r="CO71" s="95"/>
      <c r="CP71" s="95"/>
      <c r="CQ71" s="95"/>
      <c r="CR71" s="95"/>
      <c r="CS71" s="95"/>
      <c r="CT71" s="95"/>
      <c r="CU71" s="95"/>
      <c r="CV71" s="95"/>
      <c r="CW71" s="95"/>
      <c r="CX71" s="95"/>
      <c r="CY71" s="95"/>
      <c r="CZ71" s="95"/>
      <c r="DA71" s="95"/>
      <c r="DB71" s="95"/>
      <c r="DC71" s="95"/>
      <c r="DD71" s="95"/>
      <c r="DE71" s="95"/>
      <c r="DF71" s="95"/>
      <c r="DG71" s="95"/>
      <c r="DH71" s="95"/>
      <c r="DI71" s="95"/>
      <c r="DJ71" s="95"/>
      <c r="DK71" s="95"/>
      <c r="DL71" s="95"/>
      <c r="DM71" s="95"/>
      <c r="DN71" s="95"/>
      <c r="DO71" s="95"/>
      <c r="DP71" s="95"/>
      <c r="DQ71" s="95"/>
      <c r="DR71" s="95"/>
      <c r="DS71" s="95"/>
      <c r="DT71" s="95"/>
      <c r="DU71" s="95"/>
      <c r="DV71" s="95"/>
      <c r="DW71" s="95"/>
      <c r="DX71" s="95"/>
      <c r="DY71" s="95"/>
      <c r="DZ71" s="95"/>
      <c r="EA71" s="95"/>
      <c r="EB71" s="95"/>
      <c r="EC71" s="95"/>
      <c r="ED71" s="95"/>
      <c r="EE71" s="95"/>
      <c r="EF71" s="95"/>
      <c r="EG71" s="95"/>
      <c r="EH71" s="95"/>
      <c r="EI71" s="95"/>
      <c r="EJ71" s="95"/>
      <c r="EK71" s="95"/>
      <c r="EL71" s="95"/>
      <c r="EM71" s="95"/>
      <c r="EN71" s="95"/>
      <c r="EO71" s="95"/>
      <c r="EP71" s="95"/>
      <c r="EQ71" s="95"/>
      <c r="ER71" s="95"/>
      <c r="ES71" s="95"/>
      <c r="ET71" s="95"/>
      <c r="EU71" s="95"/>
      <c r="EV71" s="95"/>
      <c r="EW71" s="95"/>
      <c r="EX71" s="95"/>
      <c r="EY71" s="95"/>
      <c r="EZ71" s="95"/>
      <c r="FA71" s="95"/>
      <c r="FB71" s="95"/>
      <c r="FC71" s="95"/>
      <c r="FD71" s="95"/>
      <c r="FE71" s="95"/>
      <c r="FF71" s="95"/>
      <c r="FG71" s="95"/>
      <c r="FH71" s="95"/>
      <c r="FI71" s="95"/>
      <c r="FJ71" s="95"/>
      <c r="FK71" s="95"/>
      <c r="FL71" s="95"/>
      <c r="FM71" s="95"/>
      <c r="FN71" s="95"/>
      <c r="FO71" s="95"/>
      <c r="FP71" s="95"/>
      <c r="FQ71" s="95"/>
      <c r="FR71" s="95"/>
      <c r="FS71" s="95"/>
      <c r="FT71" s="95"/>
      <c r="FU71" s="95"/>
      <c r="FV71" s="95"/>
      <c r="FW71" s="95"/>
      <c r="FX71" s="95"/>
      <c r="FY71" s="95"/>
      <c r="FZ71" s="95"/>
      <c r="GA71" s="95"/>
      <c r="GB71" s="95"/>
      <c r="GC71" s="95"/>
      <c r="GD71" s="95"/>
      <c r="GE71" s="95"/>
      <c r="GF71" s="95"/>
      <c r="GG71" s="95"/>
      <c r="GH71" s="95"/>
      <c r="GI71" s="95"/>
      <c r="GJ71" s="95"/>
      <c r="GK71" s="95"/>
      <c r="GL71" s="95"/>
      <c r="GM71" s="95"/>
      <c r="GN71" s="95"/>
      <c r="GO71" s="95"/>
      <c r="GP71" s="95"/>
      <c r="GQ71" s="95"/>
      <c r="GR71" s="95"/>
      <c r="GS71" s="95"/>
      <c r="GT71" s="95"/>
      <c r="GU71" s="95"/>
      <c r="GV71" s="95"/>
      <c r="GW71" s="95"/>
      <c r="GX71" s="95"/>
      <c r="GY71" s="95"/>
      <c r="GZ71" s="95"/>
      <c r="HA71" s="95"/>
      <c r="HB71" s="95"/>
      <c r="HC71" s="95"/>
      <c r="HD71" s="95"/>
      <c r="HE71" s="95"/>
      <c r="HF71" s="95"/>
      <c r="HG71" s="95"/>
      <c r="HH71" s="95"/>
      <c r="HI71" s="95"/>
      <c r="HJ71" s="95"/>
      <c r="HK71" s="95"/>
      <c r="HL71" s="95"/>
      <c r="HM71" s="95"/>
      <c r="HN71" s="95"/>
      <c r="HO71" s="95"/>
      <c r="HP71" s="95"/>
      <c r="HQ71" s="95"/>
      <c r="HR71" s="95"/>
      <c r="HS71" s="95"/>
      <c r="HT71" s="95"/>
      <c r="HU71" s="95"/>
      <c r="HV71" s="95"/>
      <c r="HW71" s="95"/>
      <c r="HX71" s="95"/>
      <c r="HY71" s="95"/>
      <c r="HZ71" s="95"/>
      <c r="IA71" s="95"/>
      <c r="IB71" s="95"/>
      <c r="IC71" s="95"/>
      <c r="ID71" s="95"/>
      <c r="IE71" s="95"/>
      <c r="IF71" s="95"/>
      <c r="IG71" s="95"/>
      <c r="IH71" s="95"/>
      <c r="II71" s="95"/>
      <c r="IJ71" s="95"/>
      <c r="IK71" s="95"/>
      <c r="IL71" s="95"/>
      <c r="IM71" s="95"/>
      <c r="IN71" s="95"/>
      <c r="IO71" s="95"/>
      <c r="IP71" s="95"/>
      <c r="IQ71" s="95"/>
      <c r="IR71" s="95"/>
    </row>
    <row r="72" spans="1:252" ht="15.6" x14ac:dyDescent="0.3">
      <c r="A72" s="103" t="s">
        <v>160</v>
      </c>
      <c r="B72" s="104" t="s">
        <v>86</v>
      </c>
      <c r="C72" s="104" t="s">
        <v>75</v>
      </c>
      <c r="D72" s="105" t="s">
        <v>173</v>
      </c>
      <c r="E72" s="99">
        <v>67.27</v>
      </c>
      <c r="F72" s="100">
        <v>24.59</v>
      </c>
      <c r="G72" s="101">
        <f>(($C$32+$C$33+$C$34+$C$35)*F72)/$K$19</f>
        <v>0.1814067667260239</v>
      </c>
      <c r="H72" s="100">
        <v>42.02</v>
      </c>
      <c r="I72" s="101">
        <f>((E32+E33+E34+E35)*H72)/$K$19</f>
        <v>0</v>
      </c>
      <c r="J72" s="102">
        <v>0.46</v>
      </c>
      <c r="K72" s="101">
        <f>(($C$32+$C$33+$C$34+$C$35)*J72)/$K$19</f>
        <v>3.3935385398117528E-3</v>
      </c>
      <c r="L72" s="100">
        <v>201.92</v>
      </c>
      <c r="M72" s="101">
        <f>(($C$32+$C$33+$C$34+$C$35)*L72)/$K$19</f>
        <v>1.4896158738234544</v>
      </c>
      <c r="N72" s="102">
        <v>0.93</v>
      </c>
      <c r="O72" s="101">
        <f>(($C$32+$C$33+$C$34+$C$35)*N72)/$K$19</f>
        <v>6.8608496565759356E-3</v>
      </c>
      <c r="P72" s="95"/>
      <c r="Q72" s="95"/>
      <c r="R72" s="103" t="s">
        <v>160</v>
      </c>
      <c r="S72" s="104" t="s">
        <v>86</v>
      </c>
      <c r="T72" s="104" t="s">
        <v>75</v>
      </c>
      <c r="U72" s="105" t="s">
        <v>173</v>
      </c>
      <c r="V72" s="99">
        <v>67.27</v>
      </c>
      <c r="W72" s="100">
        <v>24.59</v>
      </c>
      <c r="X72" s="101">
        <f>(($U$33+$U$34+$U$35+$U$36+$U$37+$U$38)*W72)/$S$41</f>
        <v>0.18922602391249047</v>
      </c>
      <c r="Y72" s="100">
        <v>42.02</v>
      </c>
      <c r="Z72" s="101">
        <f>(($U$33+$U$34+$U$35+$U$36+$U$37+$U$38)*Y72)/$S$41</f>
        <v>0.32335410836937167</v>
      </c>
      <c r="AA72" s="102">
        <v>0.46</v>
      </c>
      <c r="AB72" s="101">
        <f>(($U$33+$U$34+$U$35+$U$36+$U$37+$U$38)*AA72)/$S$41</f>
        <v>3.5398117527346731E-3</v>
      </c>
      <c r="AC72" s="100">
        <v>201.92</v>
      </c>
      <c r="AD72" s="101">
        <f>(($U$33+$U$34+$U$35+$U$36+$U$37+$U$38)*AC72)/$S$41</f>
        <v>1.5538234545917069</v>
      </c>
      <c r="AE72" s="102">
        <v>0.93</v>
      </c>
      <c r="AF72" s="101">
        <f>(($U$33+$U$34+$U$35+$U$36+$U$37+$U$38)*AE72)/$S$41</f>
        <v>7.1565759348766233E-3</v>
      </c>
      <c r="AG72" s="95"/>
      <c r="AH72" s="95"/>
      <c r="AI72" s="95"/>
      <c r="AJ72" s="95"/>
      <c r="AK72" s="95"/>
      <c r="AL72" s="95"/>
      <c r="AM72" s="95"/>
      <c r="AN72" s="95"/>
      <c r="AO72" s="95"/>
      <c r="AP72" s="95"/>
      <c r="AQ72" s="95"/>
      <c r="AR72" s="95"/>
      <c r="AS72" s="95"/>
      <c r="AT72" s="95"/>
      <c r="AU72" s="95"/>
      <c r="AV72" s="95"/>
      <c r="AW72" s="95"/>
      <c r="AX72" s="95"/>
      <c r="AY72" s="95"/>
      <c r="AZ72" s="95"/>
      <c r="BA72" s="95"/>
      <c r="BB72" s="95"/>
      <c r="BC72" s="95"/>
      <c r="BD72" s="95"/>
      <c r="BE72" s="95"/>
      <c r="BF72" s="95"/>
      <c r="BG72" s="95"/>
      <c r="BH72" s="95"/>
      <c r="BI72" s="95"/>
      <c r="BJ72" s="95"/>
      <c r="BK72" s="95"/>
      <c r="BL72" s="95"/>
      <c r="BM72" s="95"/>
      <c r="BN72" s="95"/>
      <c r="BO72" s="95"/>
      <c r="BP72" s="95"/>
      <c r="BQ72" s="95"/>
      <c r="BR72" s="95"/>
      <c r="BS72" s="95"/>
      <c r="BT72" s="95"/>
      <c r="BU72" s="95"/>
      <c r="BV72" s="95"/>
      <c r="BW72" s="95"/>
      <c r="BX72" s="95"/>
      <c r="BY72" s="95"/>
      <c r="BZ72" s="95"/>
      <c r="CA72" s="95"/>
      <c r="CB72" s="95"/>
      <c r="CC72" s="95"/>
      <c r="CD72" s="95"/>
      <c r="CE72" s="95"/>
      <c r="CF72" s="95"/>
      <c r="CG72" s="95"/>
      <c r="CH72" s="95"/>
      <c r="CI72" s="95"/>
      <c r="CJ72" s="95"/>
      <c r="CK72" s="95"/>
      <c r="CL72" s="95"/>
      <c r="CM72" s="95"/>
      <c r="CN72" s="95"/>
      <c r="CO72" s="95"/>
      <c r="CP72" s="95"/>
      <c r="CQ72" s="95"/>
      <c r="CR72" s="95"/>
      <c r="CS72" s="95"/>
      <c r="CT72" s="95"/>
      <c r="CU72" s="95"/>
      <c r="CV72" s="95"/>
      <c r="CW72" s="95"/>
      <c r="CX72" s="95"/>
      <c r="CY72" s="95"/>
      <c r="CZ72" s="95"/>
      <c r="DA72" s="95"/>
      <c r="DB72" s="95"/>
      <c r="DC72" s="95"/>
      <c r="DD72" s="95"/>
      <c r="DE72" s="95"/>
      <c r="DF72" s="95"/>
      <c r="DG72" s="95"/>
      <c r="DH72" s="95"/>
      <c r="DI72" s="95"/>
      <c r="DJ72" s="95"/>
      <c r="DK72" s="95"/>
      <c r="DL72" s="95"/>
      <c r="DM72" s="95"/>
      <c r="DN72" s="95"/>
      <c r="DO72" s="95"/>
      <c r="DP72" s="95"/>
      <c r="DQ72" s="95"/>
      <c r="DR72" s="95"/>
      <c r="DS72" s="95"/>
      <c r="DT72" s="95"/>
      <c r="DU72" s="95"/>
      <c r="DV72" s="95"/>
      <c r="DW72" s="95"/>
      <c r="DX72" s="95"/>
      <c r="DY72" s="95"/>
      <c r="DZ72" s="95"/>
      <c r="EA72" s="95"/>
      <c r="EB72" s="95"/>
      <c r="EC72" s="95"/>
      <c r="ED72" s="95"/>
      <c r="EE72" s="95"/>
      <c r="EF72" s="95"/>
      <c r="EG72" s="95"/>
      <c r="EH72" s="95"/>
      <c r="EI72" s="95"/>
      <c r="EJ72" s="95"/>
      <c r="EK72" s="95"/>
      <c r="EL72" s="95"/>
      <c r="EM72" s="95"/>
      <c r="EN72" s="95"/>
      <c r="EO72" s="95"/>
      <c r="EP72" s="95"/>
      <c r="EQ72" s="95"/>
      <c r="ER72" s="95"/>
      <c r="ES72" s="95"/>
      <c r="ET72" s="95"/>
      <c r="EU72" s="95"/>
      <c r="EV72" s="95"/>
      <c r="EW72" s="95"/>
      <c r="EX72" s="95"/>
      <c r="EY72" s="95"/>
      <c r="EZ72" s="95"/>
      <c r="FA72" s="95"/>
      <c r="FB72" s="95"/>
      <c r="FC72" s="95"/>
      <c r="FD72" s="95"/>
      <c r="FE72" s="95"/>
      <c r="FF72" s="95"/>
      <c r="FG72" s="95"/>
      <c r="FH72" s="95"/>
      <c r="FI72" s="95"/>
      <c r="FJ72" s="95"/>
      <c r="FK72" s="95"/>
      <c r="FL72" s="95"/>
      <c r="FM72" s="95"/>
      <c r="FN72" s="95"/>
      <c r="FO72" s="95"/>
      <c r="FP72" s="95"/>
      <c r="FQ72" s="95"/>
      <c r="FR72" s="95"/>
      <c r="FS72" s="95"/>
      <c r="FT72" s="95"/>
      <c r="FU72" s="95"/>
      <c r="FV72" s="95"/>
      <c r="FW72" s="95"/>
      <c r="FX72" s="95"/>
      <c r="FY72" s="95"/>
      <c r="FZ72" s="95"/>
      <c r="GA72" s="95"/>
      <c r="GB72" s="95"/>
      <c r="GC72" s="95"/>
      <c r="GD72" s="95"/>
      <c r="GE72" s="95"/>
      <c r="GF72" s="95"/>
      <c r="GG72" s="95"/>
      <c r="GH72" s="95"/>
      <c r="GI72" s="95"/>
      <c r="GJ72" s="95"/>
      <c r="GK72" s="95"/>
      <c r="GL72" s="95"/>
      <c r="GM72" s="95"/>
      <c r="GN72" s="95"/>
      <c r="GO72" s="95"/>
      <c r="GP72" s="95"/>
      <c r="GQ72" s="95"/>
      <c r="GR72" s="95"/>
      <c r="GS72" s="95"/>
      <c r="GT72" s="95"/>
      <c r="GU72" s="95"/>
      <c r="GV72" s="95"/>
      <c r="GW72" s="95"/>
      <c r="GX72" s="95"/>
      <c r="GY72" s="95"/>
      <c r="GZ72" s="95"/>
      <c r="HA72" s="95"/>
      <c r="HB72" s="95"/>
      <c r="HC72" s="95"/>
      <c r="HD72" s="95"/>
      <c r="HE72" s="95"/>
      <c r="HF72" s="95"/>
      <c r="HG72" s="95"/>
      <c r="HH72" s="95"/>
      <c r="HI72" s="95"/>
      <c r="HJ72" s="95"/>
      <c r="HK72" s="95"/>
      <c r="HL72" s="95"/>
      <c r="HM72" s="95"/>
      <c r="HN72" s="95"/>
      <c r="HO72" s="95"/>
      <c r="HP72" s="95"/>
      <c r="HQ72" s="95"/>
      <c r="HR72" s="95"/>
      <c r="HS72" s="95"/>
      <c r="HT72" s="95"/>
      <c r="HU72" s="95"/>
      <c r="HV72" s="95"/>
      <c r="HW72" s="95"/>
      <c r="HX72" s="95"/>
      <c r="HY72" s="95"/>
      <c r="HZ72" s="95"/>
      <c r="IA72" s="95"/>
      <c r="IB72" s="95"/>
      <c r="IC72" s="95"/>
      <c r="ID72" s="95"/>
      <c r="IE72" s="95"/>
      <c r="IF72" s="95"/>
      <c r="IG72" s="95"/>
      <c r="IH72" s="95"/>
      <c r="II72" s="95"/>
      <c r="IJ72" s="95"/>
      <c r="IK72" s="95"/>
      <c r="IL72" s="95"/>
      <c r="IM72" s="95"/>
      <c r="IN72" s="95"/>
      <c r="IO72" s="95"/>
      <c r="IP72" s="95"/>
      <c r="IQ72" s="95"/>
      <c r="IR72" s="95"/>
    </row>
    <row r="73" spans="1:252" ht="15.6" x14ac:dyDescent="0.3">
      <c r="A73" s="103" t="s">
        <v>160</v>
      </c>
      <c r="B73" s="104" t="s">
        <v>95</v>
      </c>
      <c r="C73" s="104" t="s">
        <v>82</v>
      </c>
      <c r="D73" s="105" t="s">
        <v>161</v>
      </c>
      <c r="E73" s="99">
        <v>65.27</v>
      </c>
      <c r="F73" s="100">
        <v>2468.6999999999998</v>
      </c>
      <c r="G73" s="101">
        <f>(($D$25+$J$25)*F73)/$K$19</f>
        <v>0.31400407021114218</v>
      </c>
      <c r="H73" s="100">
        <v>43.36</v>
      </c>
      <c r="I73" s="101">
        <f>(($D$25+$J$25)*H73)/$K$19</f>
        <v>5.515136097685067E-3</v>
      </c>
      <c r="J73" s="100">
        <v>54.5</v>
      </c>
      <c r="K73" s="101">
        <f>(($D$25+$J$25)*J73)/$K$19</f>
        <v>6.9320783515644871E-3</v>
      </c>
      <c r="L73" s="100">
        <v>180.18</v>
      </c>
      <c r="M73" s="101">
        <f>(($D$25+$J$25)*L73)/$K$19</f>
        <v>2.2917832612566778E-2</v>
      </c>
      <c r="N73" s="102">
        <v>7.58</v>
      </c>
      <c r="O73" s="101">
        <f>(($D$25+$J$25)*N73)/$K$19</f>
        <v>9.6413126430933604E-4</v>
      </c>
      <c r="P73" s="95"/>
      <c r="Q73" s="95"/>
      <c r="R73" s="103" t="s">
        <v>160</v>
      </c>
      <c r="S73" s="104" t="s">
        <v>95</v>
      </c>
      <c r="T73" s="104" t="s">
        <v>82</v>
      </c>
      <c r="U73" s="105" t="s">
        <v>161</v>
      </c>
      <c r="V73" s="99">
        <v>65.27</v>
      </c>
      <c r="W73" s="100">
        <v>2468.6999999999998</v>
      </c>
      <c r="X73" s="101">
        <f>(($V$26)*W73)/$S$41</f>
        <v>0.31400407021114218</v>
      </c>
      <c r="Y73" s="100">
        <v>43.36</v>
      </c>
      <c r="Z73" s="101">
        <f>(($V$26)*Y73)/$S$41</f>
        <v>5.515136097685067E-3</v>
      </c>
      <c r="AA73" s="100">
        <v>54.5</v>
      </c>
      <c r="AB73" s="101">
        <f>(($V$26)*AA73)/$S$41</f>
        <v>6.9320783515644871E-3</v>
      </c>
      <c r="AC73" s="100">
        <v>180.18</v>
      </c>
      <c r="AD73" s="101">
        <f>(($V$26)*AC73)/$S$41</f>
        <v>2.2917832612566778E-2</v>
      </c>
      <c r="AE73" s="102">
        <v>7.58</v>
      </c>
      <c r="AF73" s="101">
        <f>(($V$26)*AE73)/$S$41</f>
        <v>9.6413126430933594E-4</v>
      </c>
      <c r="AG73" s="95"/>
      <c r="AH73" s="95"/>
      <c r="AI73" s="95"/>
      <c r="AJ73" s="95"/>
      <c r="AK73" s="95"/>
      <c r="AL73" s="95"/>
      <c r="AM73" s="95"/>
      <c r="AN73" s="95"/>
      <c r="AO73" s="95"/>
      <c r="AP73" s="95"/>
      <c r="AQ73" s="95"/>
      <c r="AR73" s="95"/>
      <c r="AS73" s="95"/>
      <c r="AT73" s="95"/>
      <c r="AU73" s="95"/>
      <c r="AV73" s="95"/>
      <c r="AW73" s="95"/>
      <c r="AX73" s="95"/>
      <c r="AY73" s="95"/>
      <c r="AZ73" s="95"/>
      <c r="BA73" s="95"/>
      <c r="BB73" s="95"/>
      <c r="BC73" s="95"/>
      <c r="BD73" s="95"/>
      <c r="BE73" s="95"/>
      <c r="BF73" s="95"/>
      <c r="BG73" s="95"/>
      <c r="BH73" s="95"/>
      <c r="BI73" s="95"/>
      <c r="BJ73" s="95"/>
      <c r="BK73" s="95"/>
      <c r="BL73" s="95"/>
      <c r="BM73" s="95"/>
      <c r="BN73" s="95"/>
      <c r="BO73" s="95"/>
      <c r="BP73" s="95"/>
      <c r="BQ73" s="95"/>
      <c r="BR73" s="95"/>
      <c r="BS73" s="95"/>
      <c r="BT73" s="95"/>
      <c r="BU73" s="95"/>
      <c r="BV73" s="95"/>
      <c r="BW73" s="95"/>
      <c r="BX73" s="95"/>
      <c r="BY73" s="95"/>
      <c r="BZ73" s="95"/>
      <c r="CA73" s="95"/>
      <c r="CB73" s="95"/>
      <c r="CC73" s="95"/>
      <c r="CD73" s="95"/>
      <c r="CE73" s="95"/>
      <c r="CF73" s="95"/>
      <c r="CG73" s="95"/>
      <c r="CH73" s="95"/>
      <c r="CI73" s="95"/>
      <c r="CJ73" s="95"/>
      <c r="CK73" s="95"/>
      <c r="CL73" s="95"/>
      <c r="CM73" s="95"/>
      <c r="CN73" s="95"/>
      <c r="CO73" s="95"/>
      <c r="CP73" s="95"/>
      <c r="CQ73" s="95"/>
      <c r="CR73" s="95"/>
      <c r="CS73" s="95"/>
      <c r="CT73" s="95"/>
      <c r="CU73" s="95"/>
      <c r="CV73" s="95"/>
      <c r="CW73" s="95"/>
      <c r="CX73" s="95"/>
      <c r="CY73" s="95"/>
      <c r="CZ73" s="95"/>
      <c r="DA73" s="95"/>
      <c r="DB73" s="95"/>
      <c r="DC73" s="95"/>
      <c r="DD73" s="95"/>
      <c r="DE73" s="95"/>
      <c r="DF73" s="95"/>
      <c r="DG73" s="95"/>
      <c r="DH73" s="95"/>
      <c r="DI73" s="95"/>
      <c r="DJ73" s="95"/>
      <c r="DK73" s="95"/>
      <c r="DL73" s="95"/>
      <c r="DM73" s="95"/>
      <c r="DN73" s="95"/>
      <c r="DO73" s="95"/>
      <c r="DP73" s="95"/>
      <c r="DQ73" s="95"/>
      <c r="DR73" s="95"/>
      <c r="DS73" s="95"/>
      <c r="DT73" s="95"/>
      <c r="DU73" s="95"/>
      <c r="DV73" s="95"/>
      <c r="DW73" s="95"/>
      <c r="DX73" s="95"/>
      <c r="DY73" s="95"/>
      <c r="DZ73" s="95"/>
      <c r="EA73" s="95"/>
      <c r="EB73" s="95"/>
      <c r="EC73" s="95"/>
      <c r="ED73" s="95"/>
      <c r="EE73" s="95"/>
      <c r="EF73" s="95"/>
      <c r="EG73" s="95"/>
      <c r="EH73" s="95"/>
      <c r="EI73" s="95"/>
      <c r="EJ73" s="95"/>
      <c r="EK73" s="95"/>
      <c r="EL73" s="95"/>
      <c r="EM73" s="95"/>
      <c r="EN73" s="95"/>
      <c r="EO73" s="95"/>
      <c r="EP73" s="95"/>
      <c r="EQ73" s="95"/>
      <c r="ER73" s="95"/>
      <c r="ES73" s="95"/>
      <c r="ET73" s="95"/>
      <c r="EU73" s="95"/>
      <c r="EV73" s="95"/>
      <c r="EW73" s="95"/>
      <c r="EX73" s="95"/>
      <c r="EY73" s="95"/>
      <c r="EZ73" s="95"/>
      <c r="FA73" s="95"/>
      <c r="FB73" s="95"/>
      <c r="FC73" s="95"/>
      <c r="FD73" s="95"/>
      <c r="FE73" s="95"/>
      <c r="FF73" s="95"/>
      <c r="FG73" s="95"/>
      <c r="FH73" s="95"/>
      <c r="FI73" s="95"/>
      <c r="FJ73" s="95"/>
      <c r="FK73" s="95"/>
      <c r="FL73" s="95"/>
      <c r="FM73" s="95"/>
      <c r="FN73" s="95"/>
      <c r="FO73" s="95"/>
      <c r="FP73" s="95"/>
      <c r="FQ73" s="95"/>
      <c r="FR73" s="95"/>
      <c r="FS73" s="95"/>
      <c r="FT73" s="95"/>
      <c r="FU73" s="95"/>
      <c r="FV73" s="95"/>
      <c r="FW73" s="95"/>
      <c r="FX73" s="95"/>
      <c r="FY73" s="95"/>
      <c r="FZ73" s="95"/>
      <c r="GA73" s="95"/>
      <c r="GB73" s="95"/>
      <c r="GC73" s="95"/>
      <c r="GD73" s="95"/>
      <c r="GE73" s="95"/>
      <c r="GF73" s="95"/>
      <c r="GG73" s="95"/>
      <c r="GH73" s="95"/>
      <c r="GI73" s="95"/>
      <c r="GJ73" s="95"/>
      <c r="GK73" s="95"/>
      <c r="GL73" s="95"/>
      <c r="GM73" s="95"/>
      <c r="GN73" s="95"/>
      <c r="GO73" s="95"/>
      <c r="GP73" s="95"/>
      <c r="GQ73" s="95"/>
      <c r="GR73" s="95"/>
      <c r="GS73" s="95"/>
      <c r="GT73" s="95"/>
      <c r="GU73" s="95"/>
      <c r="GV73" s="95"/>
      <c r="GW73" s="95"/>
      <c r="GX73" s="95"/>
      <c r="GY73" s="95"/>
      <c r="GZ73" s="95"/>
      <c r="HA73" s="95"/>
      <c r="HB73" s="95"/>
      <c r="HC73" s="95"/>
      <c r="HD73" s="95"/>
      <c r="HE73" s="95"/>
      <c r="HF73" s="95"/>
      <c r="HG73" s="95"/>
      <c r="HH73" s="95"/>
      <c r="HI73" s="95"/>
      <c r="HJ73" s="95"/>
      <c r="HK73" s="95"/>
      <c r="HL73" s="95"/>
      <c r="HM73" s="95"/>
      <c r="HN73" s="95"/>
      <c r="HO73" s="95"/>
      <c r="HP73" s="95"/>
      <c r="HQ73" s="95"/>
      <c r="HR73" s="95"/>
      <c r="HS73" s="95"/>
      <c r="HT73" s="95"/>
      <c r="HU73" s="95"/>
      <c r="HV73" s="95"/>
      <c r="HW73" s="95"/>
      <c r="HX73" s="95"/>
      <c r="HY73" s="95"/>
      <c r="HZ73" s="95"/>
      <c r="IA73" s="95"/>
      <c r="IB73" s="95"/>
      <c r="IC73" s="95"/>
      <c r="ID73" s="95"/>
      <c r="IE73" s="95"/>
      <c r="IF73" s="95"/>
      <c r="IG73" s="95"/>
      <c r="IH73" s="95"/>
      <c r="II73" s="95"/>
      <c r="IJ73" s="95"/>
      <c r="IK73" s="95"/>
      <c r="IL73" s="95"/>
      <c r="IM73" s="95"/>
      <c r="IN73" s="95"/>
      <c r="IO73" s="95"/>
      <c r="IP73" s="95"/>
      <c r="IQ73" s="95"/>
      <c r="IR73" s="95"/>
    </row>
    <row r="74" spans="1:252" ht="15.6" x14ac:dyDescent="0.3">
      <c r="A74" s="103" t="s">
        <v>160</v>
      </c>
      <c r="B74" s="104" t="s">
        <v>95</v>
      </c>
      <c r="C74" s="104" t="s">
        <v>162</v>
      </c>
      <c r="D74" s="105" t="s">
        <v>163</v>
      </c>
      <c r="E74" s="99">
        <v>66.790000000000006</v>
      </c>
      <c r="F74" s="100">
        <v>442.8</v>
      </c>
      <c r="G74" s="101">
        <f>(($D$26+$J$26)*F74)/$K$19</f>
        <v>0</v>
      </c>
      <c r="H74" s="100">
        <v>43.36</v>
      </c>
      <c r="I74" s="101">
        <f>(($D$26+$J$26)*H74)/$K$19</f>
        <v>0</v>
      </c>
      <c r="J74" s="100">
        <v>60.71</v>
      </c>
      <c r="K74" s="101">
        <f>(($D$26+$J$26)*J74)/$K$19</f>
        <v>0</v>
      </c>
      <c r="L74" s="100">
        <v>184.39</v>
      </c>
      <c r="M74" s="101">
        <f>(($D$26+$J$26)*L74)/$K$19</f>
        <v>0</v>
      </c>
      <c r="N74" s="100">
        <v>12.47</v>
      </c>
      <c r="O74" s="101">
        <f>(($D$26+$J$26)*N74)/$K$19</f>
        <v>0</v>
      </c>
      <c r="P74" s="95"/>
      <c r="Q74" s="95"/>
      <c r="R74" s="103" t="s">
        <v>160</v>
      </c>
      <c r="S74" s="104" t="s">
        <v>95</v>
      </c>
      <c r="T74" s="104" t="s">
        <v>162</v>
      </c>
      <c r="U74" s="105" t="s">
        <v>163</v>
      </c>
      <c r="V74" s="99">
        <v>66.790000000000006</v>
      </c>
      <c r="W74" s="100">
        <v>442.8</v>
      </c>
      <c r="X74" s="101">
        <f>(($V$27)*W74)/$S$41</f>
        <v>0</v>
      </c>
      <c r="Y74" s="100">
        <v>43.36</v>
      </c>
      <c r="Z74" s="101">
        <f>(($V$27)*Y74)/$S$41</f>
        <v>0</v>
      </c>
      <c r="AA74" s="100">
        <v>60.71</v>
      </c>
      <c r="AB74" s="101">
        <f>(($V$27)*AA74)/$S$41</f>
        <v>0</v>
      </c>
      <c r="AC74" s="100">
        <v>184.39</v>
      </c>
      <c r="AD74" s="101">
        <f>(($V$27)*AC74)/$S$41</f>
        <v>0</v>
      </c>
      <c r="AE74" s="100">
        <v>12.47</v>
      </c>
      <c r="AF74" s="101">
        <f>(($V$27)*AE74)/$S$41</f>
        <v>0</v>
      </c>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95"/>
      <c r="BH74" s="95"/>
      <c r="BI74" s="95"/>
      <c r="BJ74" s="95"/>
      <c r="BK74" s="95"/>
      <c r="BL74" s="95"/>
      <c r="BM74" s="95"/>
      <c r="BN74" s="95"/>
      <c r="BO74" s="95"/>
      <c r="BP74" s="95"/>
      <c r="BQ74" s="95"/>
      <c r="BR74" s="95"/>
      <c r="BS74" s="95"/>
      <c r="BT74" s="95"/>
      <c r="BU74" s="95"/>
      <c r="BV74" s="95"/>
      <c r="BW74" s="95"/>
      <c r="BX74" s="95"/>
      <c r="BY74" s="95"/>
      <c r="BZ74" s="95"/>
      <c r="CA74" s="95"/>
      <c r="CB74" s="95"/>
      <c r="CC74" s="95"/>
      <c r="CD74" s="95"/>
      <c r="CE74" s="95"/>
      <c r="CF74" s="95"/>
      <c r="CG74" s="95"/>
      <c r="CH74" s="95"/>
      <c r="CI74" s="95"/>
      <c r="CJ74" s="95"/>
      <c r="CK74" s="95"/>
      <c r="CL74" s="95"/>
      <c r="CM74" s="95"/>
      <c r="CN74" s="95"/>
      <c r="CO74" s="95"/>
      <c r="CP74" s="95"/>
      <c r="CQ74" s="95"/>
      <c r="CR74" s="95"/>
      <c r="CS74" s="95"/>
      <c r="CT74" s="95"/>
      <c r="CU74" s="95"/>
      <c r="CV74" s="95"/>
      <c r="CW74" s="95"/>
      <c r="CX74" s="95"/>
      <c r="CY74" s="95"/>
      <c r="CZ74" s="95"/>
      <c r="DA74" s="95"/>
      <c r="DB74" s="95"/>
      <c r="DC74" s="95"/>
      <c r="DD74" s="95"/>
      <c r="DE74" s="95"/>
      <c r="DF74" s="95"/>
      <c r="DG74" s="95"/>
      <c r="DH74" s="95"/>
      <c r="DI74" s="95"/>
      <c r="DJ74" s="95"/>
      <c r="DK74" s="95"/>
      <c r="DL74" s="95"/>
      <c r="DM74" s="95"/>
      <c r="DN74" s="95"/>
      <c r="DO74" s="95"/>
      <c r="DP74" s="95"/>
      <c r="DQ74" s="95"/>
      <c r="DR74" s="95"/>
      <c r="DS74" s="95"/>
      <c r="DT74" s="95"/>
      <c r="DU74" s="95"/>
      <c r="DV74" s="95"/>
      <c r="DW74" s="95"/>
      <c r="DX74" s="95"/>
      <c r="DY74" s="95"/>
      <c r="DZ74" s="95"/>
      <c r="EA74" s="95"/>
      <c r="EB74" s="95"/>
      <c r="EC74" s="95"/>
      <c r="ED74" s="95"/>
      <c r="EE74" s="95"/>
      <c r="EF74" s="95"/>
      <c r="EG74" s="95"/>
      <c r="EH74" s="95"/>
      <c r="EI74" s="95"/>
      <c r="EJ74" s="95"/>
      <c r="EK74" s="95"/>
      <c r="EL74" s="95"/>
      <c r="EM74" s="95"/>
      <c r="EN74" s="95"/>
      <c r="EO74" s="95"/>
      <c r="EP74" s="95"/>
      <c r="EQ74" s="95"/>
      <c r="ER74" s="95"/>
      <c r="ES74" s="95"/>
      <c r="ET74" s="95"/>
      <c r="EU74" s="95"/>
      <c r="EV74" s="95"/>
      <c r="EW74" s="95"/>
      <c r="EX74" s="95"/>
      <c r="EY74" s="95"/>
      <c r="EZ74" s="95"/>
      <c r="FA74" s="95"/>
      <c r="FB74" s="95"/>
      <c r="FC74" s="95"/>
      <c r="FD74" s="95"/>
      <c r="FE74" s="95"/>
      <c r="FF74" s="95"/>
      <c r="FG74" s="95"/>
      <c r="FH74" s="95"/>
      <c r="FI74" s="95"/>
      <c r="FJ74" s="95"/>
      <c r="FK74" s="95"/>
      <c r="FL74" s="95"/>
      <c r="FM74" s="95"/>
      <c r="FN74" s="95"/>
      <c r="FO74" s="95"/>
      <c r="FP74" s="95"/>
      <c r="FQ74" s="95"/>
      <c r="FR74" s="95"/>
      <c r="FS74" s="95"/>
      <c r="FT74" s="95"/>
      <c r="FU74" s="95"/>
      <c r="FV74" s="95"/>
      <c r="FW74" s="95"/>
      <c r="FX74" s="95"/>
      <c r="FY74" s="95"/>
      <c r="FZ74" s="95"/>
      <c r="GA74" s="95"/>
      <c r="GB74" s="95"/>
      <c r="GC74" s="95"/>
      <c r="GD74" s="95"/>
      <c r="GE74" s="95"/>
      <c r="GF74" s="95"/>
      <c r="GG74" s="95"/>
      <c r="GH74" s="95"/>
      <c r="GI74" s="95"/>
      <c r="GJ74" s="95"/>
      <c r="GK74" s="95"/>
      <c r="GL74" s="95"/>
      <c r="GM74" s="95"/>
      <c r="GN74" s="95"/>
      <c r="GO74" s="95"/>
      <c r="GP74" s="95"/>
      <c r="GQ74" s="95"/>
      <c r="GR74" s="95"/>
      <c r="GS74" s="95"/>
      <c r="GT74" s="95"/>
      <c r="GU74" s="95"/>
      <c r="GV74" s="95"/>
      <c r="GW74" s="95"/>
      <c r="GX74" s="95"/>
      <c r="GY74" s="95"/>
      <c r="GZ74" s="95"/>
      <c r="HA74" s="95"/>
      <c r="HB74" s="95"/>
      <c r="HC74" s="95"/>
      <c r="HD74" s="95"/>
      <c r="HE74" s="95"/>
      <c r="HF74" s="95"/>
      <c r="HG74" s="95"/>
      <c r="HH74" s="95"/>
      <c r="HI74" s="95"/>
      <c r="HJ74" s="95"/>
      <c r="HK74" s="95"/>
      <c r="HL74" s="95"/>
      <c r="HM74" s="95"/>
      <c r="HN74" s="95"/>
      <c r="HO74" s="95"/>
      <c r="HP74" s="95"/>
      <c r="HQ74" s="95"/>
      <c r="HR74" s="95"/>
      <c r="HS74" s="95"/>
      <c r="HT74" s="95"/>
      <c r="HU74" s="95"/>
      <c r="HV74" s="95"/>
      <c r="HW74" s="95"/>
      <c r="HX74" s="95"/>
      <c r="HY74" s="95"/>
      <c r="HZ74" s="95"/>
      <c r="IA74" s="95"/>
      <c r="IB74" s="95"/>
      <c r="IC74" s="95"/>
      <c r="ID74" s="95"/>
      <c r="IE74" s="95"/>
      <c r="IF74" s="95"/>
      <c r="IG74" s="95"/>
      <c r="IH74" s="95"/>
      <c r="II74" s="95"/>
      <c r="IJ74" s="95"/>
      <c r="IK74" s="95"/>
      <c r="IL74" s="95"/>
      <c r="IM74" s="95"/>
      <c r="IN74" s="95"/>
      <c r="IO74" s="95"/>
      <c r="IP74" s="95"/>
      <c r="IQ74" s="95"/>
      <c r="IR74" s="95"/>
    </row>
    <row r="75" spans="1:252" ht="15.6" x14ac:dyDescent="0.3">
      <c r="A75" s="103" t="s">
        <v>160</v>
      </c>
      <c r="B75" s="104" t="s">
        <v>95</v>
      </c>
      <c r="C75" s="104" t="s">
        <v>164</v>
      </c>
      <c r="D75" s="105" t="s">
        <v>165</v>
      </c>
      <c r="E75" s="99">
        <v>66.790000000000006</v>
      </c>
      <c r="F75" s="100">
        <v>200.98</v>
      </c>
      <c r="G75" s="101">
        <f>(($D$27+$J$27)*F75)/$K$19</f>
        <v>0</v>
      </c>
      <c r="H75" s="100">
        <v>43.36</v>
      </c>
      <c r="I75" s="101">
        <f>(($D$27+$J$27)*H75)/$K$19</f>
        <v>0</v>
      </c>
      <c r="J75" s="100">
        <v>26.3</v>
      </c>
      <c r="K75" s="101">
        <f>(($D$27+$J$27)*J75)/$K$19</f>
        <v>0</v>
      </c>
      <c r="L75" s="100">
        <v>184.39</v>
      </c>
      <c r="M75" s="101">
        <f>(($D$27+$J$27)*L75)/$K$19</f>
        <v>0</v>
      </c>
      <c r="N75" s="102">
        <v>6.44</v>
      </c>
      <c r="O75" s="101">
        <f>(($D$27+$J$27)*N75)/$K$19</f>
        <v>0</v>
      </c>
      <c r="P75" s="95"/>
      <c r="Q75" s="95"/>
      <c r="R75" s="103" t="s">
        <v>160</v>
      </c>
      <c r="S75" s="104" t="s">
        <v>95</v>
      </c>
      <c r="T75" s="104" t="s">
        <v>164</v>
      </c>
      <c r="U75" s="105" t="s">
        <v>165</v>
      </c>
      <c r="V75" s="99">
        <v>66.790000000000006</v>
      </c>
      <c r="W75" s="100">
        <v>200.98</v>
      </c>
      <c r="X75" s="101">
        <f>(($V$28)*W75)/$S$41</f>
        <v>0</v>
      </c>
      <c r="Y75" s="100">
        <v>43.36</v>
      </c>
      <c r="Z75" s="101">
        <f>(($V$28)*Y75)/$S$41</f>
        <v>0</v>
      </c>
      <c r="AA75" s="100">
        <v>26.3</v>
      </c>
      <c r="AB75" s="101">
        <f>(($V$28)*AA75)/$S$41</f>
        <v>0</v>
      </c>
      <c r="AC75" s="100">
        <v>184.39</v>
      </c>
      <c r="AD75" s="101">
        <f>(($V$28)*AC75)/$S$41</f>
        <v>0</v>
      </c>
      <c r="AE75" s="102">
        <v>6.44</v>
      </c>
      <c r="AF75" s="101">
        <f>(($V$28)*AE75)/$S$41</f>
        <v>0</v>
      </c>
      <c r="AG75" s="95"/>
      <c r="AH75" s="95"/>
      <c r="AI75" s="95"/>
      <c r="AJ75" s="95"/>
      <c r="AK75" s="95"/>
      <c r="AL75" s="95"/>
      <c r="AM75" s="95"/>
      <c r="AN75" s="95"/>
      <c r="AO75" s="95"/>
      <c r="AP75" s="95"/>
      <c r="AQ75" s="95"/>
      <c r="AR75" s="95"/>
      <c r="AS75" s="95"/>
      <c r="AT75" s="95"/>
      <c r="AU75" s="95"/>
      <c r="AV75" s="95"/>
      <c r="AW75" s="95"/>
      <c r="AX75" s="95"/>
      <c r="AY75" s="95"/>
      <c r="AZ75" s="95"/>
      <c r="BA75" s="95"/>
      <c r="BB75" s="95"/>
      <c r="BC75" s="95"/>
      <c r="BD75" s="95"/>
      <c r="BE75" s="95"/>
      <c r="BF75" s="95"/>
      <c r="BG75" s="95"/>
      <c r="BH75" s="95"/>
      <c r="BI75" s="95"/>
      <c r="BJ75" s="95"/>
      <c r="BK75" s="95"/>
      <c r="BL75" s="95"/>
      <c r="BM75" s="95"/>
      <c r="BN75" s="95"/>
      <c r="BO75" s="95"/>
      <c r="BP75" s="95"/>
      <c r="BQ75" s="95"/>
      <c r="BR75" s="95"/>
      <c r="BS75" s="95"/>
      <c r="BT75" s="95"/>
      <c r="BU75" s="95"/>
      <c r="BV75" s="95"/>
      <c r="BW75" s="95"/>
      <c r="BX75" s="95"/>
      <c r="BY75" s="95"/>
      <c r="BZ75" s="95"/>
      <c r="CA75" s="95"/>
      <c r="CB75" s="95"/>
      <c r="CC75" s="95"/>
      <c r="CD75" s="95"/>
      <c r="CE75" s="95"/>
      <c r="CF75" s="95"/>
      <c r="CG75" s="95"/>
      <c r="CH75" s="95"/>
      <c r="CI75" s="95"/>
      <c r="CJ75" s="95"/>
      <c r="CK75" s="95"/>
      <c r="CL75" s="95"/>
      <c r="CM75" s="95"/>
      <c r="CN75" s="95"/>
      <c r="CO75" s="95"/>
      <c r="CP75" s="95"/>
      <c r="CQ75" s="95"/>
      <c r="CR75" s="95"/>
      <c r="CS75" s="95"/>
      <c r="CT75" s="95"/>
      <c r="CU75" s="95"/>
      <c r="CV75" s="95"/>
      <c r="CW75" s="95"/>
      <c r="CX75" s="95"/>
      <c r="CY75" s="95"/>
      <c r="CZ75" s="95"/>
      <c r="DA75" s="95"/>
      <c r="DB75" s="95"/>
      <c r="DC75" s="95"/>
      <c r="DD75" s="95"/>
      <c r="DE75" s="95"/>
      <c r="DF75" s="95"/>
      <c r="DG75" s="95"/>
      <c r="DH75" s="95"/>
      <c r="DI75" s="95"/>
      <c r="DJ75" s="95"/>
      <c r="DK75" s="95"/>
      <c r="DL75" s="95"/>
      <c r="DM75" s="95"/>
      <c r="DN75" s="95"/>
      <c r="DO75" s="95"/>
      <c r="DP75" s="95"/>
      <c r="DQ75" s="95"/>
      <c r="DR75" s="95"/>
      <c r="DS75" s="95"/>
      <c r="DT75" s="95"/>
      <c r="DU75" s="95"/>
      <c r="DV75" s="95"/>
      <c r="DW75" s="95"/>
      <c r="DX75" s="95"/>
      <c r="DY75" s="95"/>
      <c r="DZ75" s="95"/>
      <c r="EA75" s="95"/>
      <c r="EB75" s="95"/>
      <c r="EC75" s="95"/>
      <c r="ED75" s="95"/>
      <c r="EE75" s="95"/>
      <c r="EF75" s="95"/>
      <c r="EG75" s="95"/>
      <c r="EH75" s="95"/>
      <c r="EI75" s="95"/>
      <c r="EJ75" s="95"/>
      <c r="EK75" s="95"/>
      <c r="EL75" s="95"/>
      <c r="EM75" s="95"/>
      <c r="EN75" s="95"/>
      <c r="EO75" s="95"/>
      <c r="EP75" s="95"/>
      <c r="EQ75" s="95"/>
      <c r="ER75" s="95"/>
      <c r="ES75" s="95"/>
      <c r="ET75" s="95"/>
      <c r="EU75" s="95"/>
      <c r="EV75" s="95"/>
      <c r="EW75" s="95"/>
      <c r="EX75" s="95"/>
      <c r="EY75" s="95"/>
      <c r="EZ75" s="95"/>
      <c r="FA75" s="95"/>
      <c r="FB75" s="95"/>
      <c r="FC75" s="95"/>
      <c r="FD75" s="95"/>
      <c r="FE75" s="95"/>
      <c r="FF75" s="95"/>
      <c r="FG75" s="95"/>
      <c r="FH75" s="95"/>
      <c r="FI75" s="95"/>
      <c r="FJ75" s="95"/>
      <c r="FK75" s="95"/>
      <c r="FL75" s="95"/>
      <c r="FM75" s="95"/>
      <c r="FN75" s="95"/>
      <c r="FO75" s="95"/>
      <c r="FP75" s="95"/>
      <c r="FQ75" s="95"/>
      <c r="FR75" s="95"/>
      <c r="FS75" s="95"/>
      <c r="FT75" s="95"/>
      <c r="FU75" s="95"/>
      <c r="FV75" s="95"/>
      <c r="FW75" s="95"/>
      <c r="FX75" s="95"/>
      <c r="FY75" s="95"/>
      <c r="FZ75" s="95"/>
      <c r="GA75" s="95"/>
      <c r="GB75" s="95"/>
      <c r="GC75" s="95"/>
      <c r="GD75" s="95"/>
      <c r="GE75" s="95"/>
      <c r="GF75" s="95"/>
      <c r="GG75" s="95"/>
      <c r="GH75" s="95"/>
      <c r="GI75" s="95"/>
      <c r="GJ75" s="95"/>
      <c r="GK75" s="95"/>
      <c r="GL75" s="95"/>
      <c r="GM75" s="95"/>
      <c r="GN75" s="95"/>
      <c r="GO75" s="95"/>
      <c r="GP75" s="95"/>
      <c r="GQ75" s="95"/>
      <c r="GR75" s="95"/>
      <c r="GS75" s="95"/>
      <c r="GT75" s="95"/>
      <c r="GU75" s="95"/>
      <c r="GV75" s="95"/>
      <c r="GW75" s="95"/>
      <c r="GX75" s="95"/>
      <c r="GY75" s="95"/>
      <c r="GZ75" s="95"/>
      <c r="HA75" s="95"/>
      <c r="HB75" s="95"/>
      <c r="HC75" s="95"/>
      <c r="HD75" s="95"/>
      <c r="HE75" s="95"/>
      <c r="HF75" s="95"/>
      <c r="HG75" s="95"/>
      <c r="HH75" s="95"/>
      <c r="HI75" s="95"/>
      <c r="HJ75" s="95"/>
      <c r="HK75" s="95"/>
      <c r="HL75" s="95"/>
      <c r="HM75" s="95"/>
      <c r="HN75" s="95"/>
      <c r="HO75" s="95"/>
      <c r="HP75" s="95"/>
      <c r="HQ75" s="95"/>
      <c r="HR75" s="95"/>
      <c r="HS75" s="95"/>
      <c r="HT75" s="95"/>
      <c r="HU75" s="95"/>
      <c r="HV75" s="95"/>
      <c r="HW75" s="95"/>
      <c r="HX75" s="95"/>
      <c r="HY75" s="95"/>
      <c r="HZ75" s="95"/>
      <c r="IA75" s="95"/>
      <c r="IB75" s="95"/>
      <c r="IC75" s="95"/>
      <c r="ID75" s="95"/>
      <c r="IE75" s="95"/>
      <c r="IF75" s="95"/>
      <c r="IG75" s="95"/>
      <c r="IH75" s="95"/>
      <c r="II75" s="95"/>
      <c r="IJ75" s="95"/>
      <c r="IK75" s="95"/>
      <c r="IL75" s="95"/>
      <c r="IM75" s="95"/>
      <c r="IN75" s="95"/>
      <c r="IO75" s="95"/>
      <c r="IP75" s="95"/>
      <c r="IQ75" s="95"/>
      <c r="IR75" s="95"/>
    </row>
    <row r="76" spans="1:252" ht="15.6" x14ac:dyDescent="0.3">
      <c r="A76" s="103" t="s">
        <v>160</v>
      </c>
      <c r="B76" s="104" t="s">
        <v>95</v>
      </c>
      <c r="C76" s="104" t="s">
        <v>69</v>
      </c>
      <c r="D76" s="105" t="s">
        <v>166</v>
      </c>
      <c r="E76" s="99">
        <v>66.790000000000006</v>
      </c>
      <c r="F76" s="100">
        <v>108.57</v>
      </c>
      <c r="G76" s="101">
        <f>(($D$28+$J$28)*F76)/$K$19</f>
        <v>0</v>
      </c>
      <c r="H76" s="100">
        <v>42.14</v>
      </c>
      <c r="I76" s="101">
        <f>(($D$28+$J$28)*H76)/$K$19</f>
        <v>0</v>
      </c>
      <c r="J76" s="100">
        <v>18.16</v>
      </c>
      <c r="K76" s="101">
        <f>(($D$28+$J$28)*J76)/$K$19</f>
        <v>0</v>
      </c>
      <c r="L76" s="100">
        <v>184.39</v>
      </c>
      <c r="M76" s="101">
        <f>(($D$28+$J$28)*L76)/$K$19</f>
        <v>0</v>
      </c>
      <c r="N76" s="102">
        <v>2.42</v>
      </c>
      <c r="O76" s="101">
        <f>(($D$28+$J$28)*N76)/$K$19</f>
        <v>0</v>
      </c>
      <c r="P76" s="95"/>
      <c r="Q76" s="95"/>
      <c r="R76" s="103" t="s">
        <v>160</v>
      </c>
      <c r="S76" s="104" t="s">
        <v>95</v>
      </c>
      <c r="T76" s="104" t="s">
        <v>69</v>
      </c>
      <c r="U76" s="105" t="s">
        <v>166</v>
      </c>
      <c r="V76" s="99">
        <v>66.790000000000006</v>
      </c>
      <c r="W76" s="100">
        <v>108.57</v>
      </c>
      <c r="X76" s="101">
        <f>(($V$29)*W76)/$S$41</f>
        <v>0</v>
      </c>
      <c r="Y76" s="100">
        <v>42.14</v>
      </c>
      <c r="Z76" s="101">
        <f>(($V$29)*Y76)/$S$41</f>
        <v>0</v>
      </c>
      <c r="AA76" s="100">
        <v>18.16</v>
      </c>
      <c r="AB76" s="101">
        <f>(($V$29)*AA76)/$S$41</f>
        <v>0</v>
      </c>
      <c r="AC76" s="100">
        <v>184.39</v>
      </c>
      <c r="AD76" s="101">
        <f>(($V$29)*AC76)/$S$41</f>
        <v>0</v>
      </c>
      <c r="AE76" s="102">
        <v>2.42</v>
      </c>
      <c r="AF76" s="101">
        <f>(($V$29)*AE76)/$S$41</f>
        <v>0</v>
      </c>
      <c r="AG76" s="95"/>
      <c r="AH76" s="95"/>
      <c r="AI76" s="95"/>
      <c r="AJ76" s="95"/>
      <c r="AK76" s="95"/>
      <c r="AL76" s="95"/>
      <c r="AM76" s="95"/>
      <c r="AN76" s="95"/>
      <c r="AO76" s="95"/>
      <c r="AP76" s="95"/>
      <c r="AQ76" s="95"/>
      <c r="AR76" s="95"/>
      <c r="AS76" s="95"/>
      <c r="AT76" s="95"/>
      <c r="AU76" s="95"/>
      <c r="AV76" s="95"/>
      <c r="AW76" s="95"/>
      <c r="AX76" s="95"/>
      <c r="AY76" s="95"/>
      <c r="AZ76" s="95"/>
      <c r="BA76" s="95"/>
      <c r="BB76" s="95"/>
      <c r="BC76" s="95"/>
      <c r="BD76" s="95"/>
      <c r="BE76" s="95"/>
      <c r="BF76" s="95"/>
      <c r="BG76" s="95"/>
      <c r="BH76" s="95"/>
      <c r="BI76" s="95"/>
      <c r="BJ76" s="95"/>
      <c r="BK76" s="95"/>
      <c r="BL76" s="95"/>
      <c r="BM76" s="95"/>
      <c r="BN76" s="95"/>
      <c r="BO76" s="95"/>
      <c r="BP76" s="95"/>
      <c r="BQ76" s="95"/>
      <c r="BR76" s="95"/>
      <c r="BS76" s="95"/>
      <c r="BT76" s="95"/>
      <c r="BU76" s="95"/>
      <c r="BV76" s="95"/>
      <c r="BW76" s="95"/>
      <c r="BX76" s="95"/>
      <c r="BY76" s="95"/>
      <c r="BZ76" s="95"/>
      <c r="CA76" s="95"/>
      <c r="CB76" s="95"/>
      <c r="CC76" s="95"/>
      <c r="CD76" s="95"/>
      <c r="CE76" s="95"/>
      <c r="CF76" s="95"/>
      <c r="CG76" s="95"/>
      <c r="CH76" s="95"/>
      <c r="CI76" s="95"/>
      <c r="CJ76" s="95"/>
      <c r="CK76" s="95"/>
      <c r="CL76" s="95"/>
      <c r="CM76" s="95"/>
      <c r="CN76" s="95"/>
      <c r="CO76" s="95"/>
      <c r="CP76" s="95"/>
      <c r="CQ76" s="95"/>
      <c r="CR76" s="95"/>
      <c r="CS76" s="95"/>
      <c r="CT76" s="95"/>
      <c r="CU76" s="95"/>
      <c r="CV76" s="95"/>
      <c r="CW76" s="95"/>
      <c r="CX76" s="95"/>
      <c r="CY76" s="95"/>
      <c r="CZ76" s="95"/>
      <c r="DA76" s="95"/>
      <c r="DB76" s="95"/>
      <c r="DC76" s="95"/>
      <c r="DD76" s="95"/>
      <c r="DE76" s="95"/>
      <c r="DF76" s="95"/>
      <c r="DG76" s="95"/>
      <c r="DH76" s="95"/>
      <c r="DI76" s="95"/>
      <c r="DJ76" s="95"/>
      <c r="DK76" s="95"/>
      <c r="DL76" s="95"/>
      <c r="DM76" s="95"/>
      <c r="DN76" s="95"/>
      <c r="DO76" s="95"/>
      <c r="DP76" s="95"/>
      <c r="DQ76" s="95"/>
      <c r="DR76" s="95"/>
      <c r="DS76" s="95"/>
      <c r="DT76" s="95"/>
      <c r="DU76" s="95"/>
      <c r="DV76" s="95"/>
      <c r="DW76" s="95"/>
      <c r="DX76" s="95"/>
      <c r="DY76" s="95"/>
      <c r="DZ76" s="95"/>
      <c r="EA76" s="95"/>
      <c r="EB76" s="95"/>
      <c r="EC76" s="95"/>
      <c r="ED76" s="95"/>
      <c r="EE76" s="95"/>
      <c r="EF76" s="95"/>
      <c r="EG76" s="95"/>
      <c r="EH76" s="95"/>
      <c r="EI76" s="95"/>
      <c r="EJ76" s="95"/>
      <c r="EK76" s="95"/>
      <c r="EL76" s="95"/>
      <c r="EM76" s="95"/>
      <c r="EN76" s="95"/>
      <c r="EO76" s="95"/>
      <c r="EP76" s="95"/>
      <c r="EQ76" s="95"/>
      <c r="ER76" s="95"/>
      <c r="ES76" s="95"/>
      <c r="ET76" s="95"/>
      <c r="EU76" s="95"/>
      <c r="EV76" s="95"/>
      <c r="EW76" s="95"/>
      <c r="EX76" s="95"/>
      <c r="EY76" s="95"/>
      <c r="EZ76" s="95"/>
      <c r="FA76" s="95"/>
      <c r="FB76" s="95"/>
      <c r="FC76" s="95"/>
      <c r="FD76" s="95"/>
      <c r="FE76" s="95"/>
      <c r="FF76" s="95"/>
      <c r="FG76" s="95"/>
      <c r="FH76" s="95"/>
      <c r="FI76" s="95"/>
      <c r="FJ76" s="95"/>
      <c r="FK76" s="95"/>
      <c r="FL76" s="95"/>
      <c r="FM76" s="95"/>
      <c r="FN76" s="95"/>
      <c r="FO76" s="95"/>
      <c r="FP76" s="95"/>
      <c r="FQ76" s="95"/>
      <c r="FR76" s="95"/>
      <c r="FS76" s="95"/>
      <c r="FT76" s="95"/>
      <c r="FU76" s="95"/>
      <c r="FV76" s="95"/>
      <c r="FW76" s="95"/>
      <c r="FX76" s="95"/>
      <c r="FY76" s="95"/>
      <c r="FZ76" s="95"/>
      <c r="GA76" s="95"/>
      <c r="GB76" s="95"/>
      <c r="GC76" s="95"/>
      <c r="GD76" s="95"/>
      <c r="GE76" s="95"/>
      <c r="GF76" s="95"/>
      <c r="GG76" s="95"/>
      <c r="GH76" s="95"/>
      <c r="GI76" s="95"/>
      <c r="GJ76" s="95"/>
      <c r="GK76" s="95"/>
      <c r="GL76" s="95"/>
      <c r="GM76" s="95"/>
      <c r="GN76" s="95"/>
      <c r="GO76" s="95"/>
      <c r="GP76" s="95"/>
      <c r="GQ76" s="95"/>
      <c r="GR76" s="95"/>
      <c r="GS76" s="95"/>
      <c r="GT76" s="95"/>
      <c r="GU76" s="95"/>
      <c r="GV76" s="95"/>
      <c r="GW76" s="95"/>
      <c r="GX76" s="95"/>
      <c r="GY76" s="95"/>
      <c r="GZ76" s="95"/>
      <c r="HA76" s="95"/>
      <c r="HB76" s="95"/>
      <c r="HC76" s="95"/>
      <c r="HD76" s="95"/>
      <c r="HE76" s="95"/>
      <c r="HF76" s="95"/>
      <c r="HG76" s="95"/>
      <c r="HH76" s="95"/>
      <c r="HI76" s="95"/>
      <c r="HJ76" s="95"/>
      <c r="HK76" s="95"/>
      <c r="HL76" s="95"/>
      <c r="HM76" s="95"/>
      <c r="HN76" s="95"/>
      <c r="HO76" s="95"/>
      <c r="HP76" s="95"/>
      <c r="HQ76" s="95"/>
      <c r="HR76" s="95"/>
      <c r="HS76" s="95"/>
      <c r="HT76" s="95"/>
      <c r="HU76" s="95"/>
      <c r="HV76" s="95"/>
      <c r="HW76" s="95"/>
      <c r="HX76" s="95"/>
      <c r="HY76" s="95"/>
      <c r="HZ76" s="95"/>
      <c r="IA76" s="95"/>
      <c r="IB76" s="95"/>
      <c r="IC76" s="95"/>
      <c r="ID76" s="95"/>
      <c r="IE76" s="95"/>
      <c r="IF76" s="95"/>
      <c r="IG76" s="95"/>
      <c r="IH76" s="95"/>
      <c r="II76" s="95"/>
      <c r="IJ76" s="95"/>
      <c r="IK76" s="95"/>
      <c r="IL76" s="95"/>
      <c r="IM76" s="95"/>
      <c r="IN76" s="95"/>
      <c r="IO76" s="95"/>
      <c r="IP76" s="95"/>
      <c r="IQ76" s="95"/>
      <c r="IR76" s="95"/>
    </row>
    <row r="77" spans="1:252" ht="15.6" x14ac:dyDescent="0.3">
      <c r="A77" s="103" t="s">
        <v>160</v>
      </c>
      <c r="B77" s="104" t="s">
        <v>95</v>
      </c>
      <c r="C77" s="104" t="s">
        <v>71</v>
      </c>
      <c r="D77" s="105" t="s">
        <v>167</v>
      </c>
      <c r="E77" s="99">
        <v>66.790000000000006</v>
      </c>
      <c r="F77" s="100">
        <v>62.65</v>
      </c>
      <c r="G77" s="101">
        <f>(($D$29+$J$29)*F77)/$K$19</f>
        <v>0.10757758839989824</v>
      </c>
      <c r="H77" s="100">
        <v>42.14</v>
      </c>
      <c r="I77" s="101">
        <f>(($D$29+$J$29)*H77)/$K$19</f>
        <v>7.2359450521495797E-2</v>
      </c>
      <c r="J77" s="100">
        <v>55.16</v>
      </c>
      <c r="K77" s="101">
        <f>(($D$29+$J$29)*J77)/$K$19</f>
        <v>9.471635716102772E-2</v>
      </c>
      <c r="L77" s="100">
        <v>184.39</v>
      </c>
      <c r="M77" s="101">
        <f>(($D$29+$J$29)*L77)/$K$19</f>
        <v>0.31661981684049856</v>
      </c>
      <c r="N77" s="102">
        <v>1.72</v>
      </c>
      <c r="O77" s="101">
        <f>(($D$29+$J$29)*N77)/$K$19</f>
        <v>2.953446960061053E-3</v>
      </c>
      <c r="P77" s="95"/>
      <c r="Q77" s="95"/>
      <c r="R77" s="103" t="s">
        <v>160</v>
      </c>
      <c r="S77" s="104" t="s">
        <v>95</v>
      </c>
      <c r="T77" s="104" t="s">
        <v>71</v>
      </c>
      <c r="U77" s="105" t="s">
        <v>167</v>
      </c>
      <c r="V77" s="99">
        <v>66.790000000000006</v>
      </c>
      <c r="W77" s="100">
        <v>62.65</v>
      </c>
      <c r="X77" s="101">
        <f>(($V$30)*W77)/$S$41</f>
        <v>0.10757758839989824</v>
      </c>
      <c r="Y77" s="100">
        <v>42.14</v>
      </c>
      <c r="Z77" s="101">
        <f>(($V$30)*Y77)/$S$41</f>
        <v>7.2359450521495811E-2</v>
      </c>
      <c r="AA77" s="100">
        <v>55.16</v>
      </c>
      <c r="AB77" s="101">
        <f>(($V$30)*AA77)/$S$41</f>
        <v>9.4716357161027734E-2</v>
      </c>
      <c r="AC77" s="100">
        <v>184.39</v>
      </c>
      <c r="AD77" s="101">
        <f>(($V$30)*AC77)/$S$41</f>
        <v>0.31661981684049861</v>
      </c>
      <c r="AE77" s="102">
        <v>1.72</v>
      </c>
      <c r="AF77" s="101">
        <f>(($V$30)*AE77)/$S$41</f>
        <v>2.9534469600610534E-3</v>
      </c>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95"/>
      <c r="BH77" s="95"/>
      <c r="BI77" s="95"/>
      <c r="BJ77" s="95"/>
      <c r="BK77" s="95"/>
      <c r="BL77" s="95"/>
      <c r="BM77" s="95"/>
      <c r="BN77" s="95"/>
      <c r="BO77" s="95"/>
      <c r="BP77" s="95"/>
      <c r="BQ77" s="95"/>
      <c r="BR77" s="95"/>
      <c r="BS77" s="95"/>
      <c r="BT77" s="95"/>
      <c r="BU77" s="95"/>
      <c r="BV77" s="95"/>
      <c r="BW77" s="95"/>
      <c r="BX77" s="95"/>
      <c r="BY77" s="95"/>
      <c r="BZ77" s="95"/>
      <c r="CA77" s="95"/>
      <c r="CB77" s="95"/>
      <c r="CC77" s="95"/>
      <c r="CD77" s="95"/>
      <c r="CE77" s="95"/>
      <c r="CF77" s="95"/>
      <c r="CG77" s="95"/>
      <c r="CH77" s="95"/>
      <c r="CI77" s="95"/>
      <c r="CJ77" s="95"/>
      <c r="CK77" s="95"/>
      <c r="CL77" s="95"/>
      <c r="CM77" s="95"/>
      <c r="CN77" s="95"/>
      <c r="CO77" s="95"/>
      <c r="CP77" s="95"/>
      <c r="CQ77" s="95"/>
      <c r="CR77" s="95"/>
      <c r="CS77" s="95"/>
      <c r="CT77" s="95"/>
      <c r="CU77" s="95"/>
      <c r="CV77" s="95"/>
      <c r="CW77" s="95"/>
      <c r="CX77" s="95"/>
      <c r="CY77" s="95"/>
      <c r="CZ77" s="95"/>
      <c r="DA77" s="95"/>
      <c r="DB77" s="95"/>
      <c r="DC77" s="95"/>
      <c r="DD77" s="95"/>
      <c r="DE77" s="95"/>
      <c r="DF77" s="95"/>
      <c r="DG77" s="95"/>
      <c r="DH77" s="95"/>
      <c r="DI77" s="95"/>
      <c r="DJ77" s="95"/>
      <c r="DK77" s="95"/>
      <c r="DL77" s="95"/>
      <c r="DM77" s="95"/>
      <c r="DN77" s="95"/>
      <c r="DO77" s="95"/>
      <c r="DP77" s="95"/>
      <c r="DQ77" s="95"/>
      <c r="DR77" s="95"/>
      <c r="DS77" s="95"/>
      <c r="DT77" s="95"/>
      <c r="DU77" s="95"/>
      <c r="DV77" s="95"/>
      <c r="DW77" s="95"/>
      <c r="DX77" s="95"/>
      <c r="DY77" s="95"/>
      <c r="DZ77" s="95"/>
      <c r="EA77" s="95"/>
      <c r="EB77" s="95"/>
      <c r="EC77" s="95"/>
      <c r="ED77" s="95"/>
      <c r="EE77" s="95"/>
      <c r="EF77" s="95"/>
      <c r="EG77" s="95"/>
      <c r="EH77" s="95"/>
      <c r="EI77" s="95"/>
      <c r="EJ77" s="95"/>
      <c r="EK77" s="95"/>
      <c r="EL77" s="95"/>
      <c r="EM77" s="95"/>
      <c r="EN77" s="95"/>
      <c r="EO77" s="95"/>
      <c r="EP77" s="95"/>
      <c r="EQ77" s="95"/>
      <c r="ER77" s="95"/>
      <c r="ES77" s="95"/>
      <c r="ET77" s="95"/>
      <c r="EU77" s="95"/>
      <c r="EV77" s="95"/>
      <c r="EW77" s="95"/>
      <c r="EX77" s="95"/>
      <c r="EY77" s="95"/>
      <c r="EZ77" s="95"/>
      <c r="FA77" s="95"/>
      <c r="FB77" s="95"/>
      <c r="FC77" s="95"/>
      <c r="FD77" s="95"/>
      <c r="FE77" s="95"/>
      <c r="FF77" s="95"/>
      <c r="FG77" s="95"/>
      <c r="FH77" s="95"/>
      <c r="FI77" s="95"/>
      <c r="FJ77" s="95"/>
      <c r="FK77" s="95"/>
      <c r="FL77" s="95"/>
      <c r="FM77" s="95"/>
      <c r="FN77" s="95"/>
      <c r="FO77" s="95"/>
      <c r="FP77" s="95"/>
      <c r="FQ77" s="95"/>
      <c r="FR77" s="95"/>
      <c r="FS77" s="95"/>
      <c r="FT77" s="95"/>
      <c r="FU77" s="95"/>
      <c r="FV77" s="95"/>
      <c r="FW77" s="95"/>
      <c r="FX77" s="95"/>
      <c r="FY77" s="95"/>
      <c r="FZ77" s="95"/>
      <c r="GA77" s="95"/>
      <c r="GB77" s="95"/>
      <c r="GC77" s="95"/>
      <c r="GD77" s="95"/>
      <c r="GE77" s="95"/>
      <c r="GF77" s="95"/>
      <c r="GG77" s="95"/>
      <c r="GH77" s="95"/>
      <c r="GI77" s="95"/>
      <c r="GJ77" s="95"/>
      <c r="GK77" s="95"/>
      <c r="GL77" s="95"/>
      <c r="GM77" s="95"/>
      <c r="GN77" s="95"/>
      <c r="GO77" s="95"/>
      <c r="GP77" s="95"/>
      <c r="GQ77" s="95"/>
      <c r="GR77" s="95"/>
      <c r="GS77" s="95"/>
      <c r="GT77" s="95"/>
      <c r="GU77" s="95"/>
      <c r="GV77" s="95"/>
      <c r="GW77" s="95"/>
      <c r="GX77" s="95"/>
      <c r="GY77" s="95"/>
      <c r="GZ77" s="95"/>
      <c r="HA77" s="95"/>
      <c r="HB77" s="95"/>
      <c r="HC77" s="95"/>
      <c r="HD77" s="95"/>
      <c r="HE77" s="95"/>
      <c r="HF77" s="95"/>
      <c r="HG77" s="95"/>
      <c r="HH77" s="95"/>
      <c r="HI77" s="95"/>
      <c r="HJ77" s="95"/>
      <c r="HK77" s="95"/>
      <c r="HL77" s="95"/>
      <c r="HM77" s="95"/>
      <c r="HN77" s="95"/>
      <c r="HO77" s="95"/>
      <c r="HP77" s="95"/>
      <c r="HQ77" s="95"/>
      <c r="HR77" s="95"/>
      <c r="HS77" s="95"/>
      <c r="HT77" s="95"/>
      <c r="HU77" s="95"/>
      <c r="HV77" s="95"/>
      <c r="HW77" s="95"/>
      <c r="HX77" s="95"/>
      <c r="HY77" s="95"/>
      <c r="HZ77" s="95"/>
      <c r="IA77" s="95"/>
      <c r="IB77" s="95"/>
      <c r="IC77" s="95"/>
      <c r="ID77" s="95"/>
      <c r="IE77" s="95"/>
      <c r="IF77" s="95"/>
      <c r="IG77" s="95"/>
      <c r="IH77" s="95"/>
      <c r="II77" s="95"/>
      <c r="IJ77" s="95"/>
      <c r="IK77" s="95"/>
      <c r="IL77" s="95"/>
      <c r="IM77" s="95"/>
      <c r="IN77" s="95"/>
      <c r="IO77" s="95"/>
      <c r="IP77" s="95"/>
      <c r="IQ77" s="95"/>
      <c r="IR77" s="95"/>
    </row>
    <row r="78" spans="1:252" ht="15.6" x14ac:dyDescent="0.3">
      <c r="A78" s="103" t="s">
        <v>160</v>
      </c>
      <c r="B78" s="104" t="s">
        <v>95</v>
      </c>
      <c r="C78" s="104" t="s">
        <v>73</v>
      </c>
      <c r="D78" s="105" t="s">
        <v>168</v>
      </c>
      <c r="E78" s="99">
        <v>66.790000000000006</v>
      </c>
      <c r="F78" s="100">
        <v>52.18</v>
      </c>
      <c r="G78" s="101">
        <f>(($D$30+$D$31+$J$30+$J$31)*F78)/$K$19</f>
        <v>0.1559692190282371</v>
      </c>
      <c r="H78" s="100">
        <v>42.36</v>
      </c>
      <c r="I78" s="101">
        <f>(($D$30+$D$31+$J$30+$J$31)*H78)/$K$19</f>
        <v>0.12661663698804376</v>
      </c>
      <c r="J78" s="100">
        <v>55.16</v>
      </c>
      <c r="K78" s="101">
        <f>(($D$30+$D$31+$J$30+$J$31)*J78)/$K$19</f>
        <v>0.16487662172475198</v>
      </c>
      <c r="L78" s="100">
        <v>184.39</v>
      </c>
      <c r="M78" s="101">
        <f>(($D$30+$D$31+$J$30+$J$31)*L78)/$K$19</f>
        <v>0.55115301450012721</v>
      </c>
      <c r="N78" s="102">
        <v>1.01</v>
      </c>
      <c r="O78" s="101">
        <f>(($D$30+$D$31+$J$30+$J$31)*N78)/$K$19</f>
        <v>3.0189519206308825E-3</v>
      </c>
      <c r="P78" s="95"/>
      <c r="Q78" s="95"/>
      <c r="R78" s="103" t="s">
        <v>160</v>
      </c>
      <c r="S78" s="104" t="s">
        <v>95</v>
      </c>
      <c r="T78" s="104" t="s">
        <v>73</v>
      </c>
      <c r="U78" s="105" t="s">
        <v>168</v>
      </c>
      <c r="V78" s="99">
        <v>66.790000000000006</v>
      </c>
      <c r="W78" s="100">
        <v>52.18</v>
      </c>
      <c r="X78" s="101">
        <f>(($V$31+$W$32)*W78)/$S$41</f>
        <v>3.9324154159247011</v>
      </c>
      <c r="Y78" s="100">
        <v>42.36</v>
      </c>
      <c r="Z78" s="101">
        <f>(($V$31+$V$32)*Y78)/$S$41</f>
        <v>0.12661663698804376</v>
      </c>
      <c r="AA78" s="100">
        <v>55.16</v>
      </c>
      <c r="AB78" s="101">
        <f>(($V$31+$V$32)*AA78)/$S$41</f>
        <v>0.16487662172475195</v>
      </c>
      <c r="AC78" s="100">
        <v>184.39</v>
      </c>
      <c r="AD78" s="101">
        <f>(($V$31+$V$32)*AC78)/$S$41</f>
        <v>0.5511530145001271</v>
      </c>
      <c r="AE78" s="102">
        <v>1.01</v>
      </c>
      <c r="AF78" s="101">
        <f>(($V$31+$V$32)*AE78)/$S$41</f>
        <v>3.0189519206308829E-3</v>
      </c>
      <c r="AG78" s="95"/>
      <c r="AH78" s="95"/>
      <c r="AI78" s="95"/>
      <c r="AJ78" s="95"/>
      <c r="AK78" s="95"/>
      <c r="AL78" s="95"/>
      <c r="AM78" s="95"/>
      <c r="AN78" s="95"/>
      <c r="AO78" s="95"/>
      <c r="AP78" s="95"/>
      <c r="AQ78" s="95"/>
      <c r="AR78" s="95"/>
      <c r="AS78" s="95"/>
      <c r="AT78" s="95"/>
      <c r="AU78" s="95"/>
      <c r="AV78" s="95"/>
      <c r="AW78" s="95"/>
      <c r="AX78" s="95"/>
      <c r="AY78" s="95"/>
      <c r="AZ78" s="95"/>
      <c r="BA78" s="95"/>
      <c r="BB78" s="95"/>
      <c r="BC78" s="95"/>
      <c r="BD78" s="95"/>
      <c r="BE78" s="95"/>
      <c r="BF78" s="95"/>
      <c r="BG78" s="95"/>
      <c r="BH78" s="95"/>
      <c r="BI78" s="95"/>
      <c r="BJ78" s="95"/>
      <c r="BK78" s="95"/>
      <c r="BL78" s="95"/>
      <c r="BM78" s="95"/>
      <c r="BN78" s="95"/>
      <c r="BO78" s="95"/>
      <c r="BP78" s="95"/>
      <c r="BQ78" s="95"/>
      <c r="BR78" s="95"/>
      <c r="BS78" s="95"/>
      <c r="BT78" s="95"/>
      <c r="BU78" s="95"/>
      <c r="BV78" s="95"/>
      <c r="BW78" s="95"/>
      <c r="BX78" s="95"/>
      <c r="BY78" s="95"/>
      <c r="BZ78" s="95"/>
      <c r="CA78" s="95"/>
      <c r="CB78" s="95"/>
      <c r="CC78" s="95"/>
      <c r="CD78" s="95"/>
      <c r="CE78" s="95"/>
      <c r="CF78" s="95"/>
      <c r="CG78" s="95"/>
      <c r="CH78" s="95"/>
      <c r="CI78" s="95"/>
      <c r="CJ78" s="95"/>
      <c r="CK78" s="95"/>
      <c r="CL78" s="95"/>
      <c r="CM78" s="95"/>
      <c r="CN78" s="95"/>
      <c r="CO78" s="95"/>
      <c r="CP78" s="95"/>
      <c r="CQ78" s="95"/>
      <c r="CR78" s="95"/>
      <c r="CS78" s="95"/>
      <c r="CT78" s="95"/>
      <c r="CU78" s="95"/>
      <c r="CV78" s="95"/>
      <c r="CW78" s="95"/>
      <c r="CX78" s="95"/>
      <c r="CY78" s="95"/>
      <c r="CZ78" s="95"/>
      <c r="DA78" s="95"/>
      <c r="DB78" s="95"/>
      <c r="DC78" s="95"/>
      <c r="DD78" s="95"/>
      <c r="DE78" s="95"/>
      <c r="DF78" s="95"/>
      <c r="DG78" s="95"/>
      <c r="DH78" s="95"/>
      <c r="DI78" s="95"/>
      <c r="DJ78" s="95"/>
      <c r="DK78" s="95"/>
      <c r="DL78" s="95"/>
      <c r="DM78" s="95"/>
      <c r="DN78" s="95"/>
      <c r="DO78" s="95"/>
      <c r="DP78" s="95"/>
      <c r="DQ78" s="95"/>
      <c r="DR78" s="95"/>
      <c r="DS78" s="95"/>
      <c r="DT78" s="95"/>
      <c r="DU78" s="95"/>
      <c r="DV78" s="95"/>
      <c r="DW78" s="95"/>
      <c r="DX78" s="95"/>
      <c r="DY78" s="95"/>
      <c r="DZ78" s="95"/>
      <c r="EA78" s="95"/>
      <c r="EB78" s="95"/>
      <c r="EC78" s="95"/>
      <c r="ED78" s="95"/>
      <c r="EE78" s="95"/>
      <c r="EF78" s="95"/>
      <c r="EG78" s="95"/>
      <c r="EH78" s="95"/>
      <c r="EI78" s="95"/>
      <c r="EJ78" s="95"/>
      <c r="EK78" s="95"/>
      <c r="EL78" s="95"/>
      <c r="EM78" s="95"/>
      <c r="EN78" s="95"/>
      <c r="EO78" s="95"/>
      <c r="EP78" s="95"/>
      <c r="EQ78" s="95"/>
      <c r="ER78" s="95"/>
      <c r="ES78" s="95"/>
      <c r="ET78" s="95"/>
      <c r="EU78" s="95"/>
      <c r="EV78" s="95"/>
      <c r="EW78" s="95"/>
      <c r="EX78" s="95"/>
      <c r="EY78" s="95"/>
      <c r="EZ78" s="95"/>
      <c r="FA78" s="95"/>
      <c r="FB78" s="95"/>
      <c r="FC78" s="95"/>
      <c r="FD78" s="95"/>
      <c r="FE78" s="95"/>
      <c r="FF78" s="95"/>
      <c r="FG78" s="95"/>
      <c r="FH78" s="95"/>
      <c r="FI78" s="95"/>
      <c r="FJ78" s="95"/>
      <c r="FK78" s="95"/>
      <c r="FL78" s="95"/>
      <c r="FM78" s="95"/>
      <c r="FN78" s="95"/>
      <c r="FO78" s="95"/>
      <c r="FP78" s="95"/>
      <c r="FQ78" s="95"/>
      <c r="FR78" s="95"/>
      <c r="FS78" s="95"/>
      <c r="FT78" s="95"/>
      <c r="FU78" s="95"/>
      <c r="FV78" s="95"/>
      <c r="FW78" s="95"/>
      <c r="FX78" s="95"/>
      <c r="FY78" s="95"/>
      <c r="FZ78" s="95"/>
      <c r="GA78" s="95"/>
      <c r="GB78" s="95"/>
      <c r="GC78" s="95"/>
      <c r="GD78" s="95"/>
      <c r="GE78" s="95"/>
      <c r="GF78" s="95"/>
      <c r="GG78" s="95"/>
      <c r="GH78" s="95"/>
      <c r="GI78" s="95"/>
      <c r="GJ78" s="95"/>
      <c r="GK78" s="95"/>
      <c r="GL78" s="95"/>
      <c r="GM78" s="95"/>
      <c r="GN78" s="95"/>
      <c r="GO78" s="95"/>
      <c r="GP78" s="95"/>
      <c r="GQ78" s="95"/>
      <c r="GR78" s="95"/>
      <c r="GS78" s="95"/>
      <c r="GT78" s="95"/>
      <c r="GU78" s="95"/>
      <c r="GV78" s="95"/>
      <c r="GW78" s="95"/>
      <c r="GX78" s="95"/>
      <c r="GY78" s="95"/>
      <c r="GZ78" s="95"/>
      <c r="HA78" s="95"/>
      <c r="HB78" s="95"/>
      <c r="HC78" s="95"/>
      <c r="HD78" s="95"/>
      <c r="HE78" s="95"/>
      <c r="HF78" s="95"/>
      <c r="HG78" s="95"/>
      <c r="HH78" s="95"/>
      <c r="HI78" s="95"/>
      <c r="HJ78" s="95"/>
      <c r="HK78" s="95"/>
      <c r="HL78" s="95"/>
      <c r="HM78" s="95"/>
      <c r="HN78" s="95"/>
      <c r="HO78" s="95"/>
      <c r="HP78" s="95"/>
      <c r="HQ78" s="95"/>
      <c r="HR78" s="95"/>
      <c r="HS78" s="95"/>
      <c r="HT78" s="95"/>
      <c r="HU78" s="95"/>
      <c r="HV78" s="95"/>
      <c r="HW78" s="95"/>
      <c r="HX78" s="95"/>
      <c r="HY78" s="95"/>
      <c r="HZ78" s="95"/>
      <c r="IA78" s="95"/>
      <c r="IB78" s="95"/>
      <c r="IC78" s="95"/>
      <c r="ID78" s="95"/>
      <c r="IE78" s="95"/>
      <c r="IF78" s="95"/>
      <c r="IG78" s="95"/>
      <c r="IH78" s="95"/>
      <c r="II78" s="95"/>
      <c r="IJ78" s="95"/>
      <c r="IK78" s="95"/>
      <c r="IL78" s="95"/>
      <c r="IM78" s="95"/>
      <c r="IN78" s="95"/>
      <c r="IO78" s="95"/>
      <c r="IP78" s="95"/>
      <c r="IQ78" s="95"/>
      <c r="IR78" s="95"/>
    </row>
    <row r="79" spans="1:252" ht="15.6" x14ac:dyDescent="0.3">
      <c r="A79" s="103" t="s">
        <v>160</v>
      </c>
      <c r="B79" s="104" t="s">
        <v>95</v>
      </c>
      <c r="C79" s="104" t="s">
        <v>75</v>
      </c>
      <c r="D79" s="105" t="s">
        <v>173</v>
      </c>
      <c r="E79" s="99">
        <v>66.790000000000006</v>
      </c>
      <c r="F79" s="100">
        <v>43.91</v>
      </c>
      <c r="G79" s="101">
        <f>(($D$32+$D$33+$D$34+$D$35+$D$36+$D$37+$J$32+$J$33+$J$34+$J$35+$J$36+$J$37)*F79)/$K$19</f>
        <v>0.22898880691935894</v>
      </c>
      <c r="H79" s="100">
        <v>42.36</v>
      </c>
      <c r="I79" s="101">
        <f>(($D$32+$D$33+$D$34+$D$35+$D$36+$D$37+$J$32+$J$33+$J$34+$J$35+$J$36+$J$37)*H79)/$K$19</f>
        <v>0.22090562197914015</v>
      </c>
      <c r="J79" s="100">
        <v>202.45</v>
      </c>
      <c r="K79" s="101">
        <f>(($D$32+$D$33+$D$34+$D$35+$D$36+$D$37+$J$32+$J$33+$J$34+$J$35+$J$36+$J$37)*J79)/$K$19</f>
        <v>1.0557682523530907</v>
      </c>
      <c r="L79" s="100">
        <v>184.39</v>
      </c>
      <c r="M79" s="101">
        <f>(($D$32+$D$33+$D$34+$D$35+$D$36+$D$37+$J$32+$J$33+$J$34+$J$35+$J$36+$J$37)*L79)/$K$19</f>
        <v>0.96158611040447717</v>
      </c>
      <c r="N79" s="102">
        <v>0.99</v>
      </c>
      <c r="O79" s="101">
        <f>(($D$32+$D$33+$D$34+$D$35+$D$36+$D$37+$J$32+$J$33+$J$34+$J$35+$J$36+$J$37)*N79)/$K$19</f>
        <v>5.1628084456881197E-3</v>
      </c>
      <c r="P79" s="95"/>
      <c r="Q79" s="95"/>
      <c r="R79" s="103" t="s">
        <v>160</v>
      </c>
      <c r="S79" s="104" t="s">
        <v>95</v>
      </c>
      <c r="T79" s="104" t="s">
        <v>75</v>
      </c>
      <c r="U79" s="105" t="s">
        <v>173</v>
      </c>
      <c r="V79" s="99">
        <v>66.790000000000006</v>
      </c>
      <c r="W79" s="100">
        <v>43.91</v>
      </c>
      <c r="X79" s="101">
        <f>(($V$33+$W$34+$W$35+$W$36+$W$37+$W$38)*W79)/$S$41</f>
        <v>4.1944047316204527</v>
      </c>
      <c r="Y79" s="100">
        <v>42.36</v>
      </c>
      <c r="Z79" s="101">
        <f>(($V$33+$V$34+$V$35+$V$36+$V$37+$V$38)*Y79)/$S$41</f>
        <v>0.22090562197914018</v>
      </c>
      <c r="AA79" s="100">
        <v>202.45</v>
      </c>
      <c r="AB79" s="101">
        <f>(($V$33+$V$34+$V$35+$V$36+$V$37+$V$38)*AA79)/$S$41</f>
        <v>1.0557682523530909</v>
      </c>
      <c r="AC79" s="100">
        <v>184.39</v>
      </c>
      <c r="AD79" s="101">
        <f>(($V$33+$V$34+$V$35+$V$36+$V$37+$V$38)*AC79)/$S$41</f>
        <v>0.96158611040447739</v>
      </c>
      <c r="AE79" s="102">
        <v>0.99</v>
      </c>
      <c r="AF79" s="101">
        <f>(($V$33+$V$34+$V$35+$V$36+$V$37+$V$38)*AE79)/$S$41</f>
        <v>5.1628084456881206E-3</v>
      </c>
      <c r="AG79" s="95"/>
      <c r="AH79" s="95"/>
      <c r="AI79" s="95"/>
      <c r="AJ79" s="95"/>
      <c r="AK79" s="95"/>
      <c r="AL79" s="95"/>
      <c r="AM79" s="95"/>
      <c r="AN79" s="95"/>
      <c r="AO79" s="95"/>
      <c r="AP79" s="95"/>
      <c r="AQ79" s="95"/>
      <c r="AR79" s="95"/>
      <c r="AS79" s="95"/>
      <c r="AT79" s="95"/>
      <c r="AU79" s="95"/>
      <c r="AV79" s="95"/>
      <c r="AW79" s="95"/>
      <c r="AX79" s="95"/>
      <c r="AY79" s="95"/>
      <c r="AZ79" s="95"/>
      <c r="BA79" s="95"/>
      <c r="BB79" s="95"/>
      <c r="BC79" s="95"/>
      <c r="BD79" s="95"/>
      <c r="BE79" s="95"/>
      <c r="BF79" s="95"/>
      <c r="BG79" s="95"/>
      <c r="BH79" s="95"/>
      <c r="BI79" s="95"/>
      <c r="BJ79" s="95"/>
      <c r="BK79" s="95"/>
      <c r="BL79" s="95"/>
      <c r="BM79" s="95"/>
      <c r="BN79" s="95"/>
      <c r="BO79" s="95"/>
      <c r="BP79" s="95"/>
      <c r="BQ79" s="95"/>
      <c r="BR79" s="95"/>
      <c r="BS79" s="95"/>
      <c r="BT79" s="95"/>
      <c r="BU79" s="95"/>
      <c r="BV79" s="95"/>
      <c r="BW79" s="95"/>
      <c r="BX79" s="95"/>
      <c r="BY79" s="95"/>
      <c r="BZ79" s="95"/>
      <c r="CA79" s="95"/>
      <c r="CB79" s="95"/>
      <c r="CC79" s="95"/>
      <c r="CD79" s="95"/>
      <c r="CE79" s="95"/>
      <c r="CF79" s="95"/>
      <c r="CG79" s="95"/>
      <c r="CH79" s="95"/>
      <c r="CI79" s="95"/>
      <c r="CJ79" s="95"/>
      <c r="CK79" s="95"/>
      <c r="CL79" s="95"/>
      <c r="CM79" s="95"/>
      <c r="CN79" s="95"/>
      <c r="CO79" s="95"/>
      <c r="CP79" s="95"/>
      <c r="CQ79" s="95"/>
      <c r="CR79" s="95"/>
      <c r="CS79" s="95"/>
      <c r="CT79" s="95"/>
      <c r="CU79" s="95"/>
      <c r="CV79" s="95"/>
      <c r="CW79" s="95"/>
      <c r="CX79" s="95"/>
      <c r="CY79" s="95"/>
      <c r="CZ79" s="95"/>
      <c r="DA79" s="95"/>
      <c r="DB79" s="95"/>
      <c r="DC79" s="95"/>
      <c r="DD79" s="95"/>
      <c r="DE79" s="95"/>
      <c r="DF79" s="95"/>
      <c r="DG79" s="95"/>
      <c r="DH79" s="95"/>
      <c r="DI79" s="95"/>
      <c r="DJ79" s="95"/>
      <c r="DK79" s="95"/>
      <c r="DL79" s="95"/>
      <c r="DM79" s="95"/>
      <c r="DN79" s="95"/>
      <c r="DO79" s="95"/>
      <c r="DP79" s="95"/>
      <c r="DQ79" s="95"/>
      <c r="DR79" s="95"/>
      <c r="DS79" s="95"/>
      <c r="DT79" s="95"/>
      <c r="DU79" s="95"/>
      <c r="DV79" s="95"/>
      <c r="DW79" s="95"/>
      <c r="DX79" s="95"/>
      <c r="DY79" s="95"/>
      <c r="DZ79" s="95"/>
      <c r="EA79" s="95"/>
      <c r="EB79" s="95"/>
      <c r="EC79" s="95"/>
      <c r="ED79" s="95"/>
      <c r="EE79" s="95"/>
      <c r="EF79" s="95"/>
      <c r="EG79" s="95"/>
      <c r="EH79" s="95"/>
      <c r="EI79" s="95"/>
      <c r="EJ79" s="95"/>
      <c r="EK79" s="95"/>
      <c r="EL79" s="95"/>
      <c r="EM79" s="95"/>
      <c r="EN79" s="95"/>
      <c r="EO79" s="95"/>
      <c r="EP79" s="95"/>
      <c r="EQ79" s="95"/>
      <c r="ER79" s="95"/>
      <c r="ES79" s="95"/>
      <c r="ET79" s="95"/>
      <c r="EU79" s="95"/>
      <c r="EV79" s="95"/>
      <c r="EW79" s="95"/>
      <c r="EX79" s="95"/>
      <c r="EY79" s="95"/>
      <c r="EZ79" s="95"/>
      <c r="FA79" s="95"/>
      <c r="FB79" s="95"/>
      <c r="FC79" s="95"/>
      <c r="FD79" s="95"/>
      <c r="FE79" s="95"/>
      <c r="FF79" s="95"/>
      <c r="FG79" s="95"/>
      <c r="FH79" s="95"/>
      <c r="FI79" s="95"/>
      <c r="FJ79" s="95"/>
      <c r="FK79" s="95"/>
      <c r="FL79" s="95"/>
      <c r="FM79" s="95"/>
      <c r="FN79" s="95"/>
      <c r="FO79" s="95"/>
      <c r="FP79" s="95"/>
      <c r="FQ79" s="95"/>
      <c r="FR79" s="95"/>
      <c r="FS79" s="95"/>
      <c r="FT79" s="95"/>
      <c r="FU79" s="95"/>
      <c r="FV79" s="95"/>
      <c r="FW79" s="95"/>
      <c r="FX79" s="95"/>
      <c r="FY79" s="95"/>
      <c r="FZ79" s="95"/>
      <c r="GA79" s="95"/>
      <c r="GB79" s="95"/>
      <c r="GC79" s="95"/>
      <c r="GD79" s="95"/>
      <c r="GE79" s="95"/>
      <c r="GF79" s="95"/>
      <c r="GG79" s="95"/>
      <c r="GH79" s="95"/>
      <c r="GI79" s="95"/>
      <c r="GJ79" s="95"/>
      <c r="GK79" s="95"/>
      <c r="GL79" s="95"/>
      <c r="GM79" s="95"/>
      <c r="GN79" s="95"/>
      <c r="GO79" s="95"/>
      <c r="GP79" s="95"/>
      <c r="GQ79" s="95"/>
      <c r="GR79" s="95"/>
      <c r="GS79" s="95"/>
      <c r="GT79" s="95"/>
      <c r="GU79" s="95"/>
      <c r="GV79" s="95"/>
      <c r="GW79" s="95"/>
      <c r="GX79" s="95"/>
      <c r="GY79" s="95"/>
      <c r="GZ79" s="95"/>
      <c r="HA79" s="95"/>
      <c r="HB79" s="95"/>
      <c r="HC79" s="95"/>
      <c r="HD79" s="95"/>
      <c r="HE79" s="95"/>
      <c r="HF79" s="95"/>
      <c r="HG79" s="95"/>
      <c r="HH79" s="95"/>
      <c r="HI79" s="95"/>
      <c r="HJ79" s="95"/>
      <c r="HK79" s="95"/>
      <c r="HL79" s="95"/>
      <c r="HM79" s="95"/>
      <c r="HN79" s="95"/>
      <c r="HO79" s="95"/>
      <c r="HP79" s="95"/>
      <c r="HQ79" s="95"/>
      <c r="HR79" s="95"/>
      <c r="HS79" s="95"/>
      <c r="HT79" s="95"/>
      <c r="HU79" s="95"/>
      <c r="HV79" s="95"/>
      <c r="HW79" s="95"/>
      <c r="HX79" s="95"/>
      <c r="HY79" s="95"/>
      <c r="HZ79" s="95"/>
      <c r="IA79" s="95"/>
      <c r="IB79" s="95"/>
      <c r="IC79" s="95"/>
      <c r="ID79" s="95"/>
      <c r="IE79" s="95"/>
      <c r="IF79" s="95"/>
      <c r="IG79" s="95"/>
      <c r="IH79" s="95"/>
      <c r="II79" s="95"/>
      <c r="IJ79" s="95"/>
      <c r="IK79" s="95"/>
      <c r="IL79" s="95"/>
      <c r="IM79" s="95"/>
      <c r="IN79" s="95"/>
      <c r="IO79" s="95"/>
      <c r="IP79" s="95"/>
      <c r="IQ79" s="95"/>
      <c r="IR79" s="95"/>
    </row>
    <row r="80" spans="1:252" ht="15.6" x14ac:dyDescent="0.3">
      <c r="A80" s="96" t="s">
        <v>174</v>
      </c>
      <c r="B80" s="97" t="s">
        <v>62</v>
      </c>
      <c r="C80" s="97" t="s">
        <v>175</v>
      </c>
      <c r="D80" s="98" t="s">
        <v>176</v>
      </c>
      <c r="E80" s="106">
        <v>154.1</v>
      </c>
      <c r="F80" s="107">
        <v>4652.8599999999997</v>
      </c>
      <c r="G80" s="101">
        <f>(($N$25+$N$34)*F80)/$K$19</f>
        <v>1.7754489951666241</v>
      </c>
      <c r="H80" s="107">
        <v>81.709999999999994</v>
      </c>
      <c r="I80" s="101">
        <f>(($N$25+$N$34)*H80)/$K$19</f>
        <v>3.1179089290256933E-2</v>
      </c>
      <c r="J80" s="107">
        <v>85.39</v>
      </c>
      <c r="K80" s="101">
        <f>(($N$25+$N$34)*J80)/$K$19</f>
        <v>3.258331213431697E-2</v>
      </c>
      <c r="L80" s="107">
        <v>487.96</v>
      </c>
      <c r="M80" s="101">
        <f>(($N$25+$N$34)*L80)/$K$19</f>
        <v>0.18619689646400406</v>
      </c>
      <c r="N80" s="108">
        <v>6</v>
      </c>
      <c r="O80" s="101">
        <f>(($N$25+$N$34)*N80)/$K$19</f>
        <v>2.2894937674891886E-3</v>
      </c>
      <c r="P80" s="95"/>
      <c r="Q80" s="95"/>
      <c r="R80" s="96" t="s">
        <v>174</v>
      </c>
      <c r="S80" s="97" t="s">
        <v>62</v>
      </c>
      <c r="T80" s="97" t="s">
        <v>175</v>
      </c>
      <c r="U80" s="98" t="s">
        <v>176</v>
      </c>
      <c r="V80" s="106">
        <v>154.1</v>
      </c>
      <c r="W80" s="107">
        <v>4652.8599999999997</v>
      </c>
      <c r="X80" s="101"/>
      <c r="Y80" s="107">
        <v>81.709999999999994</v>
      </c>
      <c r="Z80" s="101"/>
      <c r="AA80" s="107">
        <v>85.39</v>
      </c>
      <c r="AB80" s="101"/>
      <c r="AC80" s="107">
        <v>487.96</v>
      </c>
      <c r="AD80" s="101"/>
      <c r="AE80" s="108">
        <v>6</v>
      </c>
      <c r="AF80" s="101"/>
      <c r="AG80" s="95"/>
      <c r="AH80" s="95"/>
      <c r="AI80" s="95"/>
      <c r="AJ80" s="95"/>
      <c r="AK80" s="95"/>
      <c r="AL80" s="95"/>
      <c r="AM80" s="95"/>
      <c r="AN80" s="95"/>
      <c r="AO80" s="95"/>
      <c r="AP80" s="95"/>
      <c r="AQ80" s="95"/>
      <c r="AR80" s="95"/>
      <c r="AS80" s="95"/>
      <c r="AT80" s="95"/>
      <c r="AU80" s="95"/>
      <c r="AV80" s="95"/>
      <c r="AW80" s="95"/>
      <c r="AX80" s="95"/>
      <c r="AY80" s="95"/>
      <c r="AZ80" s="95"/>
      <c r="BA80" s="95"/>
      <c r="BB80" s="95"/>
      <c r="BC80" s="95"/>
      <c r="BD80" s="95"/>
      <c r="BE80" s="95"/>
      <c r="BF80" s="95"/>
      <c r="BG80" s="95"/>
      <c r="BH80" s="95"/>
      <c r="BI80" s="95"/>
      <c r="BJ80" s="95"/>
      <c r="BK80" s="95"/>
      <c r="BL80" s="95"/>
      <c r="BM80" s="95"/>
      <c r="BN80" s="95"/>
      <c r="BO80" s="95"/>
      <c r="BP80" s="95"/>
      <c r="BQ80" s="95"/>
      <c r="BR80" s="95"/>
      <c r="BS80" s="95"/>
      <c r="BT80" s="95"/>
      <c r="BU80" s="95"/>
      <c r="BV80" s="95"/>
      <c r="BW80" s="95"/>
      <c r="BX80" s="95"/>
      <c r="BY80" s="95"/>
      <c r="BZ80" s="95"/>
      <c r="CA80" s="95"/>
      <c r="CB80" s="95"/>
      <c r="CC80" s="95"/>
      <c r="CD80" s="95"/>
      <c r="CE80" s="95"/>
      <c r="CF80" s="95"/>
      <c r="CG80" s="95"/>
      <c r="CH80" s="95"/>
      <c r="CI80" s="95"/>
      <c r="CJ80" s="95"/>
      <c r="CK80" s="95"/>
      <c r="CL80" s="95"/>
      <c r="CM80" s="95"/>
      <c r="CN80" s="95"/>
      <c r="CO80" s="95"/>
      <c r="CP80" s="95"/>
      <c r="CQ80" s="95"/>
      <c r="CR80" s="95"/>
      <c r="CS80" s="95"/>
      <c r="CT80" s="95"/>
      <c r="CU80" s="95"/>
      <c r="CV80" s="95"/>
      <c r="CW80" s="95"/>
      <c r="CX80" s="95"/>
      <c r="CY80" s="95"/>
      <c r="CZ80" s="95"/>
      <c r="DA80" s="95"/>
      <c r="DB80" s="95"/>
      <c r="DC80" s="95"/>
      <c r="DD80" s="95"/>
      <c r="DE80" s="95"/>
      <c r="DF80" s="95"/>
      <c r="DG80" s="95"/>
      <c r="DH80" s="95"/>
      <c r="DI80" s="95"/>
      <c r="DJ80" s="95"/>
      <c r="DK80" s="95"/>
      <c r="DL80" s="95"/>
      <c r="DM80" s="95"/>
      <c r="DN80" s="95"/>
      <c r="DO80" s="95"/>
      <c r="DP80" s="95"/>
      <c r="DQ80" s="95"/>
      <c r="DR80" s="95"/>
      <c r="DS80" s="95"/>
      <c r="DT80" s="95"/>
      <c r="DU80" s="95"/>
      <c r="DV80" s="95"/>
      <c r="DW80" s="95"/>
      <c r="DX80" s="95"/>
      <c r="DY80" s="95"/>
      <c r="DZ80" s="95"/>
      <c r="EA80" s="95"/>
      <c r="EB80" s="95"/>
      <c r="EC80" s="95"/>
      <c r="ED80" s="95"/>
      <c r="EE80" s="95"/>
      <c r="EF80" s="95"/>
      <c r="EG80" s="95"/>
      <c r="EH80" s="95"/>
      <c r="EI80" s="95"/>
      <c r="EJ80" s="95"/>
      <c r="EK80" s="95"/>
      <c r="EL80" s="95"/>
      <c r="EM80" s="95"/>
      <c r="EN80" s="95"/>
      <c r="EO80" s="95"/>
      <c r="EP80" s="95"/>
      <c r="EQ80" s="95"/>
      <c r="ER80" s="95"/>
      <c r="ES80" s="95"/>
      <c r="ET80" s="95"/>
      <c r="EU80" s="95"/>
      <c r="EV80" s="95"/>
      <c r="EW80" s="95"/>
      <c r="EX80" s="95"/>
      <c r="EY80" s="95"/>
      <c r="EZ80" s="95"/>
      <c r="FA80" s="95"/>
      <c r="FB80" s="95"/>
      <c r="FC80" s="95"/>
      <c r="FD80" s="95"/>
      <c r="FE80" s="95"/>
      <c r="FF80" s="95"/>
      <c r="FG80" s="95"/>
      <c r="FH80" s="95"/>
      <c r="FI80" s="95"/>
      <c r="FJ80" s="95"/>
      <c r="FK80" s="95"/>
      <c r="FL80" s="95"/>
      <c r="FM80" s="95"/>
      <c r="FN80" s="95"/>
      <c r="FO80" s="95"/>
      <c r="FP80" s="95"/>
      <c r="FQ80" s="95"/>
      <c r="FR80" s="95"/>
      <c r="FS80" s="95"/>
      <c r="FT80" s="95"/>
      <c r="FU80" s="95"/>
      <c r="FV80" s="95"/>
      <c r="FW80" s="95"/>
      <c r="FX80" s="95"/>
      <c r="FY80" s="95"/>
      <c r="FZ80" s="95"/>
      <c r="GA80" s="95"/>
      <c r="GB80" s="95"/>
      <c r="GC80" s="95"/>
      <c r="GD80" s="95"/>
      <c r="GE80" s="95"/>
      <c r="GF80" s="95"/>
      <c r="GG80" s="95"/>
      <c r="GH80" s="95"/>
      <c r="GI80" s="95"/>
      <c r="GJ80" s="95"/>
      <c r="GK80" s="95"/>
      <c r="GL80" s="95"/>
      <c r="GM80" s="95"/>
      <c r="GN80" s="95"/>
      <c r="GO80" s="95"/>
      <c r="GP80" s="95"/>
      <c r="GQ80" s="95"/>
      <c r="GR80" s="95"/>
      <c r="GS80" s="95"/>
      <c r="GT80" s="95"/>
      <c r="GU80" s="95"/>
      <c r="GV80" s="95"/>
      <c r="GW80" s="95"/>
      <c r="GX80" s="95"/>
      <c r="GY80" s="95"/>
      <c r="GZ80" s="95"/>
      <c r="HA80" s="95"/>
      <c r="HB80" s="95"/>
      <c r="HC80" s="95"/>
      <c r="HD80" s="95"/>
      <c r="HE80" s="95"/>
      <c r="HF80" s="95"/>
      <c r="HG80" s="95"/>
      <c r="HH80" s="95"/>
      <c r="HI80" s="95"/>
      <c r="HJ80" s="95"/>
      <c r="HK80" s="95"/>
      <c r="HL80" s="95"/>
      <c r="HM80" s="95"/>
      <c r="HN80" s="95"/>
      <c r="HO80" s="95"/>
      <c r="HP80" s="95"/>
      <c r="HQ80" s="95"/>
      <c r="HR80" s="95"/>
      <c r="HS80" s="95"/>
      <c r="HT80" s="95"/>
      <c r="HU80" s="95"/>
      <c r="HV80" s="95"/>
      <c r="HW80" s="95"/>
      <c r="HX80" s="95"/>
      <c r="HY80" s="95"/>
      <c r="HZ80" s="95"/>
      <c r="IA80" s="95"/>
      <c r="IB80" s="95"/>
      <c r="IC80" s="95"/>
      <c r="ID80" s="95"/>
      <c r="IE80" s="95"/>
      <c r="IF80" s="95"/>
      <c r="IG80" s="95"/>
      <c r="IH80" s="95"/>
      <c r="II80" s="95"/>
      <c r="IJ80" s="95"/>
      <c r="IK80" s="95"/>
      <c r="IL80" s="95"/>
      <c r="IM80" s="95"/>
      <c r="IN80" s="95"/>
      <c r="IO80" s="95"/>
      <c r="IP80" s="95"/>
      <c r="IQ80" s="95"/>
      <c r="IR80" s="95"/>
    </row>
    <row r="81" spans="1:252" ht="15.6" x14ac:dyDescent="0.3">
      <c r="A81" s="103" t="s">
        <v>174</v>
      </c>
      <c r="B81" s="104" t="s">
        <v>81</v>
      </c>
      <c r="C81" s="104" t="s">
        <v>177</v>
      </c>
      <c r="D81" s="105" t="s">
        <v>176</v>
      </c>
      <c r="E81" s="99">
        <v>194.27</v>
      </c>
      <c r="F81" s="100">
        <v>8263.69</v>
      </c>
      <c r="G81" s="101">
        <f>(($O$25*F81)/$K$19)</f>
        <v>212.84625095395575</v>
      </c>
      <c r="H81" s="100">
        <v>379.15</v>
      </c>
      <c r="I81" s="101">
        <f>(($O$25*H81)/$K$19)</f>
        <v>9.7656925718646654</v>
      </c>
      <c r="J81" s="100">
        <v>48.78</v>
      </c>
      <c r="K81" s="101">
        <f>(($O$25*J81)/$K$19)</f>
        <v>1.2564169422538796</v>
      </c>
      <c r="L81" s="100">
        <v>575.09</v>
      </c>
      <c r="M81" s="101">
        <f>(($O$25*L81)/$K$19)</f>
        <v>14.812480920885271</v>
      </c>
      <c r="N81" s="100">
        <v>30</v>
      </c>
      <c r="O81" s="101">
        <f>(($O$25*N81)/$K$19)</f>
        <v>0.77270414652760111</v>
      </c>
      <c r="P81" s="95"/>
      <c r="Q81" s="95"/>
      <c r="R81" s="103" t="s">
        <v>174</v>
      </c>
      <c r="S81" s="104" t="s">
        <v>81</v>
      </c>
      <c r="T81" s="104" t="s">
        <v>177</v>
      </c>
      <c r="U81" s="105" t="s">
        <v>176</v>
      </c>
      <c r="V81" s="99">
        <v>194.27</v>
      </c>
      <c r="W81" s="100">
        <v>8263.69</v>
      </c>
      <c r="X81" s="101">
        <f>(($Y$26*W81)/$S$41)</f>
        <v>212.84625095395572</v>
      </c>
      <c r="Y81" s="100">
        <v>379.15</v>
      </c>
      <c r="Z81" s="101">
        <f>(($Y$26*Y81)/$S$41)</f>
        <v>9.7656925718646654</v>
      </c>
      <c r="AA81" s="100">
        <v>48.78</v>
      </c>
      <c r="AB81" s="101">
        <f>(($Y$26*AA81)/$S$41)</f>
        <v>1.2564169422538793</v>
      </c>
      <c r="AC81" s="100">
        <v>575.09</v>
      </c>
      <c r="AD81" s="101">
        <f>(($Y$26*AC81)/$S$41)</f>
        <v>14.812480920885269</v>
      </c>
      <c r="AE81" s="100">
        <v>30</v>
      </c>
      <c r="AF81" s="101">
        <f>(($Y$26*AE81)/$S$41)</f>
        <v>0.77270414652760111</v>
      </c>
      <c r="AG81" s="95"/>
      <c r="AH81" s="95"/>
      <c r="AI81" s="95"/>
      <c r="AJ81" s="95"/>
      <c r="AK81" s="95"/>
      <c r="AL81" s="95"/>
      <c r="AM81" s="95"/>
      <c r="AN81" s="95"/>
      <c r="AO81" s="95"/>
      <c r="AP81" s="95"/>
      <c r="AQ81" s="95"/>
      <c r="AR81" s="95"/>
      <c r="AS81" s="95"/>
      <c r="AT81" s="95"/>
      <c r="AU81" s="95"/>
      <c r="AV81" s="95"/>
      <c r="AW81" s="95"/>
      <c r="AX81" s="95"/>
      <c r="AY81" s="95"/>
      <c r="AZ81" s="95"/>
      <c r="BA81" s="95"/>
      <c r="BB81" s="95"/>
      <c r="BC81" s="95"/>
      <c r="BD81" s="95"/>
      <c r="BE81" s="95"/>
      <c r="BF81" s="95"/>
      <c r="BG81" s="95"/>
      <c r="BH81" s="95"/>
      <c r="BI81" s="95"/>
      <c r="BJ81" s="95"/>
      <c r="BK81" s="95"/>
      <c r="BL81" s="95"/>
      <c r="BM81" s="95"/>
      <c r="BN81" s="95"/>
      <c r="BO81" s="95"/>
      <c r="BP81" s="95"/>
      <c r="BQ81" s="95"/>
      <c r="BR81" s="95"/>
      <c r="BS81" s="95"/>
      <c r="BT81" s="95"/>
      <c r="BU81" s="95"/>
      <c r="BV81" s="95"/>
      <c r="BW81" s="95"/>
      <c r="BX81" s="95"/>
      <c r="BY81" s="95"/>
      <c r="BZ81" s="95"/>
      <c r="CA81" s="95"/>
      <c r="CB81" s="95"/>
      <c r="CC81" s="95"/>
      <c r="CD81" s="95"/>
      <c r="CE81" s="95"/>
      <c r="CF81" s="95"/>
      <c r="CG81" s="95"/>
      <c r="CH81" s="95"/>
      <c r="CI81" s="95"/>
      <c r="CJ81" s="95"/>
      <c r="CK81" s="95"/>
      <c r="CL81" s="95"/>
      <c r="CM81" s="95"/>
      <c r="CN81" s="95"/>
      <c r="CO81" s="95"/>
      <c r="CP81" s="95"/>
      <c r="CQ81" s="95"/>
      <c r="CR81" s="95"/>
      <c r="CS81" s="95"/>
      <c r="CT81" s="95"/>
      <c r="CU81" s="95"/>
      <c r="CV81" s="95"/>
      <c r="CW81" s="95"/>
      <c r="CX81" s="95"/>
      <c r="CY81" s="95"/>
      <c r="CZ81" s="95"/>
      <c r="DA81" s="95"/>
      <c r="DB81" s="95"/>
      <c r="DC81" s="95"/>
      <c r="DD81" s="95"/>
      <c r="DE81" s="95"/>
      <c r="DF81" s="95"/>
      <c r="DG81" s="95"/>
      <c r="DH81" s="95"/>
      <c r="DI81" s="95"/>
      <c r="DJ81" s="95"/>
      <c r="DK81" s="95"/>
      <c r="DL81" s="95"/>
      <c r="DM81" s="95"/>
      <c r="DN81" s="95"/>
      <c r="DO81" s="95"/>
      <c r="DP81" s="95"/>
      <c r="DQ81" s="95"/>
      <c r="DR81" s="95"/>
      <c r="DS81" s="95"/>
      <c r="DT81" s="95"/>
      <c r="DU81" s="95"/>
      <c r="DV81" s="95"/>
      <c r="DW81" s="95"/>
      <c r="DX81" s="95"/>
      <c r="DY81" s="95"/>
      <c r="DZ81" s="95"/>
      <c r="EA81" s="95"/>
      <c r="EB81" s="95"/>
      <c r="EC81" s="95"/>
      <c r="ED81" s="95"/>
      <c r="EE81" s="95"/>
      <c r="EF81" s="95"/>
      <c r="EG81" s="95"/>
      <c r="EH81" s="95"/>
      <c r="EI81" s="95"/>
      <c r="EJ81" s="95"/>
      <c r="EK81" s="95"/>
      <c r="EL81" s="95"/>
      <c r="EM81" s="95"/>
      <c r="EN81" s="95"/>
      <c r="EO81" s="95"/>
      <c r="EP81" s="95"/>
      <c r="EQ81" s="95"/>
      <c r="ER81" s="95"/>
      <c r="ES81" s="95"/>
      <c r="ET81" s="95"/>
      <c r="EU81" s="95"/>
      <c r="EV81" s="95"/>
      <c r="EW81" s="95"/>
      <c r="EX81" s="95"/>
      <c r="EY81" s="95"/>
      <c r="EZ81" s="95"/>
      <c r="FA81" s="95"/>
      <c r="FB81" s="95"/>
      <c r="FC81" s="95"/>
      <c r="FD81" s="95"/>
      <c r="FE81" s="95"/>
      <c r="FF81" s="95"/>
      <c r="FG81" s="95"/>
      <c r="FH81" s="95"/>
      <c r="FI81" s="95"/>
      <c r="FJ81" s="95"/>
      <c r="FK81" s="95"/>
      <c r="FL81" s="95"/>
      <c r="FM81" s="95"/>
      <c r="FN81" s="95"/>
      <c r="FO81" s="95"/>
      <c r="FP81" s="95"/>
      <c r="FQ81" s="95"/>
      <c r="FR81" s="95"/>
      <c r="FS81" s="95"/>
      <c r="FT81" s="95"/>
      <c r="FU81" s="95"/>
      <c r="FV81" s="95"/>
      <c r="FW81" s="95"/>
      <c r="FX81" s="95"/>
      <c r="FY81" s="95"/>
      <c r="FZ81" s="95"/>
      <c r="GA81" s="95"/>
      <c r="GB81" s="95"/>
      <c r="GC81" s="95"/>
      <c r="GD81" s="95"/>
      <c r="GE81" s="95"/>
      <c r="GF81" s="95"/>
      <c r="GG81" s="95"/>
      <c r="GH81" s="95"/>
      <c r="GI81" s="95"/>
      <c r="GJ81" s="95"/>
      <c r="GK81" s="95"/>
      <c r="GL81" s="95"/>
      <c r="GM81" s="95"/>
      <c r="GN81" s="95"/>
      <c r="GO81" s="95"/>
      <c r="GP81" s="95"/>
      <c r="GQ81" s="95"/>
      <c r="GR81" s="95"/>
      <c r="GS81" s="95"/>
      <c r="GT81" s="95"/>
      <c r="GU81" s="95"/>
      <c r="GV81" s="95"/>
      <c r="GW81" s="95"/>
      <c r="GX81" s="95"/>
      <c r="GY81" s="95"/>
      <c r="GZ81" s="95"/>
      <c r="HA81" s="95"/>
      <c r="HB81" s="95"/>
      <c r="HC81" s="95"/>
      <c r="HD81" s="95"/>
      <c r="HE81" s="95"/>
      <c r="HF81" s="95"/>
      <c r="HG81" s="95"/>
      <c r="HH81" s="95"/>
      <c r="HI81" s="95"/>
      <c r="HJ81" s="95"/>
      <c r="HK81" s="95"/>
      <c r="HL81" s="95"/>
      <c r="HM81" s="95"/>
      <c r="HN81" s="95"/>
      <c r="HO81" s="95"/>
      <c r="HP81" s="95"/>
      <c r="HQ81" s="95"/>
      <c r="HR81" s="95"/>
      <c r="HS81" s="95"/>
      <c r="HT81" s="95"/>
      <c r="HU81" s="95"/>
      <c r="HV81" s="95"/>
      <c r="HW81" s="95"/>
      <c r="HX81" s="95"/>
      <c r="HY81" s="95"/>
      <c r="HZ81" s="95"/>
      <c r="IA81" s="95"/>
      <c r="IB81" s="95"/>
      <c r="IC81" s="95"/>
      <c r="ID81" s="95"/>
      <c r="IE81" s="95"/>
      <c r="IF81" s="95"/>
      <c r="IG81" s="95"/>
      <c r="IH81" s="95"/>
      <c r="II81" s="95"/>
      <c r="IJ81" s="95"/>
      <c r="IK81" s="95"/>
      <c r="IL81" s="95"/>
      <c r="IM81" s="95"/>
      <c r="IN81" s="95"/>
      <c r="IO81" s="95"/>
      <c r="IP81" s="95"/>
      <c r="IQ81" s="95"/>
      <c r="IR81" s="95"/>
    </row>
    <row r="82" spans="1:252" ht="15.6" x14ac:dyDescent="0.3">
      <c r="A82" s="103" t="s">
        <v>174</v>
      </c>
      <c r="B82" s="104" t="s">
        <v>81</v>
      </c>
      <c r="C82" s="104" t="s">
        <v>178</v>
      </c>
      <c r="D82" s="105" t="s">
        <v>179</v>
      </c>
      <c r="E82" s="99">
        <v>181.51</v>
      </c>
      <c r="F82" s="100">
        <v>5807.89</v>
      </c>
      <c r="G82" s="101">
        <f>(($O$26*F82)/$K$19)</f>
        <v>22.161879928771306</v>
      </c>
      <c r="H82" s="100">
        <v>289.06</v>
      </c>
      <c r="I82" s="101">
        <f>(($O$26*H82)/$K$19)</f>
        <v>1.1030017807173746</v>
      </c>
      <c r="J82" s="100">
        <v>54.06</v>
      </c>
      <c r="K82" s="101">
        <f>(($O$26*J82)/$K$19)</f>
        <v>0.2062833884507759</v>
      </c>
      <c r="L82" s="100">
        <v>537.33000000000004</v>
      </c>
      <c r="M82" s="101">
        <f>(($O$26*L82)/$K$19)</f>
        <v>2.0503561434749429</v>
      </c>
      <c r="N82" s="102">
        <v>6.57</v>
      </c>
      <c r="O82" s="101">
        <f>(($O$26*N82)/$K$19)</f>
        <v>2.5069956754006618E-2</v>
      </c>
      <c r="P82" s="95"/>
      <c r="Q82" s="95"/>
      <c r="R82" s="103" t="s">
        <v>174</v>
      </c>
      <c r="S82" s="104" t="s">
        <v>81</v>
      </c>
      <c r="T82" s="104" t="s">
        <v>178</v>
      </c>
      <c r="U82" s="105" t="s">
        <v>179</v>
      </c>
      <c r="V82" s="99">
        <v>181.51</v>
      </c>
      <c r="W82" s="100">
        <v>5807.89</v>
      </c>
      <c r="X82" s="101">
        <f>(($Y$27*W82)/$S$41)</f>
        <v>22.161879928771306</v>
      </c>
      <c r="Y82" s="100">
        <v>289.06</v>
      </c>
      <c r="Z82" s="101">
        <f>(($Y$27*Y82)/$S$41)</f>
        <v>1.1030017807173746</v>
      </c>
      <c r="AA82" s="100">
        <v>54.06</v>
      </c>
      <c r="AB82" s="101">
        <f>(($Y$27*AA82)/$S$41)</f>
        <v>0.2062833884507759</v>
      </c>
      <c r="AC82" s="100">
        <v>537.33000000000004</v>
      </c>
      <c r="AD82" s="101">
        <f>(($Y$27*AC82)/$S$41)</f>
        <v>2.0503561434749429</v>
      </c>
      <c r="AE82" s="102">
        <v>6.57</v>
      </c>
      <c r="AF82" s="101">
        <f>(($Y$27*AE82)/$S$41)</f>
        <v>2.5069956754006615E-2</v>
      </c>
      <c r="AG82" s="95"/>
      <c r="AH82" s="95"/>
      <c r="AI82" s="95"/>
      <c r="AJ82" s="95"/>
      <c r="AK82" s="95"/>
      <c r="AL82" s="95"/>
      <c r="AM82" s="95"/>
      <c r="AN82" s="95"/>
      <c r="AO82" s="95"/>
      <c r="AP82" s="95"/>
      <c r="AQ82" s="95"/>
      <c r="AR82" s="95"/>
      <c r="AS82" s="95"/>
      <c r="AT82" s="95"/>
      <c r="AU82" s="95"/>
      <c r="AV82" s="95"/>
      <c r="AW82" s="95"/>
      <c r="AX82" s="95"/>
      <c r="AY82" s="95"/>
      <c r="AZ82" s="95"/>
      <c r="BA82" s="95"/>
      <c r="BB82" s="95"/>
      <c r="BC82" s="95"/>
      <c r="BD82" s="95"/>
      <c r="BE82" s="95"/>
      <c r="BF82" s="95"/>
      <c r="BG82" s="95"/>
      <c r="BH82" s="95"/>
      <c r="BI82" s="95"/>
      <c r="BJ82" s="95"/>
      <c r="BK82" s="95"/>
      <c r="BL82" s="95"/>
      <c r="BM82" s="95"/>
      <c r="BN82" s="95"/>
      <c r="BO82" s="95"/>
      <c r="BP82" s="95"/>
      <c r="BQ82" s="95"/>
      <c r="BR82" s="95"/>
      <c r="BS82" s="95"/>
      <c r="BT82" s="95"/>
      <c r="BU82" s="95"/>
      <c r="BV82" s="95"/>
      <c r="BW82" s="95"/>
      <c r="BX82" s="95"/>
      <c r="BY82" s="95"/>
      <c r="BZ82" s="95"/>
      <c r="CA82" s="95"/>
      <c r="CB82" s="95"/>
      <c r="CC82" s="95"/>
      <c r="CD82" s="95"/>
      <c r="CE82" s="95"/>
      <c r="CF82" s="95"/>
      <c r="CG82" s="95"/>
      <c r="CH82" s="95"/>
      <c r="CI82" s="95"/>
      <c r="CJ82" s="95"/>
      <c r="CK82" s="95"/>
      <c r="CL82" s="95"/>
      <c r="CM82" s="95"/>
      <c r="CN82" s="95"/>
      <c r="CO82" s="95"/>
      <c r="CP82" s="95"/>
      <c r="CQ82" s="95"/>
      <c r="CR82" s="95"/>
      <c r="CS82" s="95"/>
      <c r="CT82" s="95"/>
      <c r="CU82" s="95"/>
      <c r="CV82" s="95"/>
      <c r="CW82" s="95"/>
      <c r="CX82" s="95"/>
      <c r="CY82" s="95"/>
      <c r="CZ82" s="95"/>
      <c r="DA82" s="95"/>
      <c r="DB82" s="95"/>
      <c r="DC82" s="95"/>
      <c r="DD82" s="95"/>
      <c r="DE82" s="95"/>
      <c r="DF82" s="95"/>
      <c r="DG82" s="95"/>
      <c r="DH82" s="95"/>
      <c r="DI82" s="95"/>
      <c r="DJ82" s="95"/>
      <c r="DK82" s="95"/>
      <c r="DL82" s="95"/>
      <c r="DM82" s="95"/>
      <c r="DN82" s="95"/>
      <c r="DO82" s="95"/>
      <c r="DP82" s="95"/>
      <c r="DQ82" s="95"/>
      <c r="DR82" s="95"/>
      <c r="DS82" s="95"/>
      <c r="DT82" s="95"/>
      <c r="DU82" s="95"/>
      <c r="DV82" s="95"/>
      <c r="DW82" s="95"/>
      <c r="DX82" s="95"/>
      <c r="DY82" s="95"/>
      <c r="DZ82" s="95"/>
      <c r="EA82" s="95"/>
      <c r="EB82" s="95"/>
      <c r="EC82" s="95"/>
      <c r="ED82" s="95"/>
      <c r="EE82" s="95"/>
      <c r="EF82" s="95"/>
      <c r="EG82" s="95"/>
      <c r="EH82" s="95"/>
      <c r="EI82" s="95"/>
      <c r="EJ82" s="95"/>
      <c r="EK82" s="95"/>
      <c r="EL82" s="95"/>
      <c r="EM82" s="95"/>
      <c r="EN82" s="95"/>
      <c r="EO82" s="95"/>
      <c r="EP82" s="95"/>
      <c r="EQ82" s="95"/>
      <c r="ER82" s="95"/>
      <c r="ES82" s="95"/>
      <c r="ET82" s="95"/>
      <c r="EU82" s="95"/>
      <c r="EV82" s="95"/>
      <c r="EW82" s="95"/>
      <c r="EX82" s="95"/>
      <c r="EY82" s="95"/>
      <c r="EZ82" s="95"/>
      <c r="FA82" s="95"/>
      <c r="FB82" s="95"/>
      <c r="FC82" s="95"/>
      <c r="FD82" s="95"/>
      <c r="FE82" s="95"/>
      <c r="FF82" s="95"/>
      <c r="FG82" s="95"/>
      <c r="FH82" s="95"/>
      <c r="FI82" s="95"/>
      <c r="FJ82" s="95"/>
      <c r="FK82" s="95"/>
      <c r="FL82" s="95"/>
      <c r="FM82" s="95"/>
      <c r="FN82" s="95"/>
      <c r="FO82" s="95"/>
      <c r="FP82" s="95"/>
      <c r="FQ82" s="95"/>
      <c r="FR82" s="95"/>
      <c r="FS82" s="95"/>
      <c r="FT82" s="95"/>
      <c r="FU82" s="95"/>
      <c r="FV82" s="95"/>
      <c r="FW82" s="95"/>
      <c r="FX82" s="95"/>
      <c r="FY82" s="95"/>
      <c r="FZ82" s="95"/>
      <c r="GA82" s="95"/>
      <c r="GB82" s="95"/>
      <c r="GC82" s="95"/>
      <c r="GD82" s="95"/>
      <c r="GE82" s="95"/>
      <c r="GF82" s="95"/>
      <c r="GG82" s="95"/>
      <c r="GH82" s="95"/>
      <c r="GI82" s="95"/>
      <c r="GJ82" s="95"/>
      <c r="GK82" s="95"/>
      <c r="GL82" s="95"/>
      <c r="GM82" s="95"/>
      <c r="GN82" s="95"/>
      <c r="GO82" s="95"/>
      <c r="GP82" s="95"/>
      <c r="GQ82" s="95"/>
      <c r="GR82" s="95"/>
      <c r="GS82" s="95"/>
      <c r="GT82" s="95"/>
      <c r="GU82" s="95"/>
      <c r="GV82" s="95"/>
      <c r="GW82" s="95"/>
      <c r="GX82" s="95"/>
      <c r="GY82" s="95"/>
      <c r="GZ82" s="95"/>
      <c r="HA82" s="95"/>
      <c r="HB82" s="95"/>
      <c r="HC82" s="95"/>
      <c r="HD82" s="95"/>
      <c r="HE82" s="95"/>
      <c r="HF82" s="95"/>
      <c r="HG82" s="95"/>
      <c r="HH82" s="95"/>
      <c r="HI82" s="95"/>
      <c r="HJ82" s="95"/>
      <c r="HK82" s="95"/>
      <c r="HL82" s="95"/>
      <c r="HM82" s="95"/>
      <c r="HN82" s="95"/>
      <c r="HO82" s="95"/>
      <c r="HP82" s="95"/>
      <c r="HQ82" s="95"/>
      <c r="HR82" s="95"/>
      <c r="HS82" s="95"/>
      <c r="HT82" s="95"/>
      <c r="HU82" s="95"/>
      <c r="HV82" s="95"/>
      <c r="HW82" s="95"/>
      <c r="HX82" s="95"/>
      <c r="HY82" s="95"/>
      <c r="HZ82" s="95"/>
      <c r="IA82" s="95"/>
      <c r="IB82" s="95"/>
      <c r="IC82" s="95"/>
      <c r="ID82" s="95"/>
      <c r="IE82" s="95"/>
      <c r="IF82" s="95"/>
      <c r="IG82" s="95"/>
      <c r="IH82" s="95"/>
      <c r="II82" s="95"/>
      <c r="IJ82" s="95"/>
      <c r="IK82" s="95"/>
      <c r="IL82" s="95"/>
      <c r="IM82" s="95"/>
      <c r="IN82" s="95"/>
      <c r="IO82" s="95"/>
      <c r="IP82" s="95"/>
      <c r="IQ82" s="95"/>
      <c r="IR82" s="95"/>
    </row>
    <row r="83" spans="1:252" ht="15.6" x14ac:dyDescent="0.3">
      <c r="A83" s="103" t="s">
        <v>174</v>
      </c>
      <c r="B83" s="104" t="s">
        <v>81</v>
      </c>
      <c r="C83" s="104" t="s">
        <v>180</v>
      </c>
      <c r="D83" s="109" t="s">
        <v>181</v>
      </c>
      <c r="E83" s="99">
        <v>197.1</v>
      </c>
      <c r="F83" s="100">
        <v>6896.5</v>
      </c>
      <c r="G83" s="101">
        <f>(($O$27*F83)/$K$19)</f>
        <v>71.929916051895191</v>
      </c>
      <c r="H83" s="100">
        <v>228.71</v>
      </c>
      <c r="I83" s="101">
        <f>(($O$27*H83)/$K$19)</f>
        <v>2.3854261002289494</v>
      </c>
      <c r="J83" s="100">
        <v>53.56</v>
      </c>
      <c r="K83" s="101">
        <f>(($O$27*J83)/$K$19)</f>
        <v>0.5586263037395065</v>
      </c>
      <c r="L83" s="100">
        <v>583.49</v>
      </c>
      <c r="M83" s="101">
        <f>(($O$27*L83)/$K$19)</f>
        <v>6.0857517171203259</v>
      </c>
      <c r="N83" s="102">
        <v>7.11</v>
      </c>
      <c r="O83" s="101">
        <f>(($O$27*N83)/$K$19)</f>
        <v>7.4156703128974807E-2</v>
      </c>
      <c r="P83" s="95"/>
      <c r="Q83" s="95"/>
      <c r="R83" s="103" t="s">
        <v>174</v>
      </c>
      <c r="S83" s="104" t="s">
        <v>81</v>
      </c>
      <c r="T83" s="104" t="s">
        <v>180</v>
      </c>
      <c r="U83" s="109" t="s">
        <v>181</v>
      </c>
      <c r="V83" s="99">
        <v>197.1</v>
      </c>
      <c r="W83" s="100">
        <v>6896.5</v>
      </c>
      <c r="X83" s="101">
        <f>(($Y$28*W83)/$S$41)</f>
        <v>71.929916051895191</v>
      </c>
      <c r="Y83" s="100">
        <v>228.71</v>
      </c>
      <c r="Z83" s="101">
        <f>(($Y$28*Y83)/$S$41)</f>
        <v>2.3854261002289494</v>
      </c>
      <c r="AA83" s="100">
        <v>53.56</v>
      </c>
      <c r="AB83" s="101">
        <f>(($Y$28*AA83)/$S$41)</f>
        <v>0.5586263037395065</v>
      </c>
      <c r="AC83" s="100">
        <v>583.49</v>
      </c>
      <c r="AD83" s="101">
        <f>(($Y$28*AC83)/$S$41)</f>
        <v>6.0857517171203259</v>
      </c>
      <c r="AE83" s="102">
        <v>7.11</v>
      </c>
      <c r="AF83" s="101">
        <f>(($Y$28*AE83)/$S$41)</f>
        <v>7.4156703128974821E-2</v>
      </c>
      <c r="AG83" s="95"/>
      <c r="AH83" s="95"/>
      <c r="AI83" s="95"/>
      <c r="AJ83" s="95"/>
      <c r="AK83" s="95"/>
      <c r="AL83" s="95"/>
      <c r="AM83" s="95"/>
      <c r="AN83" s="95"/>
      <c r="AO83" s="95"/>
      <c r="AP83" s="95"/>
      <c r="AQ83" s="95"/>
      <c r="AR83" s="95"/>
      <c r="AS83" s="95"/>
      <c r="AT83" s="95"/>
      <c r="AU83" s="95"/>
      <c r="AV83" s="95"/>
      <c r="AW83" s="95"/>
      <c r="AX83" s="95"/>
      <c r="AY83" s="95"/>
      <c r="AZ83" s="95"/>
      <c r="BA83" s="95"/>
      <c r="BB83" s="95"/>
      <c r="BC83" s="95"/>
      <c r="BD83" s="95"/>
      <c r="BE83" s="95"/>
      <c r="BF83" s="95"/>
      <c r="BG83" s="95"/>
      <c r="BH83" s="95"/>
      <c r="BI83" s="95"/>
      <c r="BJ83" s="95"/>
      <c r="BK83" s="95"/>
      <c r="BL83" s="95"/>
      <c r="BM83" s="95"/>
      <c r="BN83" s="95"/>
      <c r="BO83" s="95"/>
      <c r="BP83" s="95"/>
      <c r="BQ83" s="95"/>
      <c r="BR83" s="95"/>
      <c r="BS83" s="95"/>
      <c r="BT83" s="95"/>
      <c r="BU83" s="95"/>
      <c r="BV83" s="95"/>
      <c r="BW83" s="95"/>
      <c r="BX83" s="95"/>
      <c r="BY83" s="95"/>
      <c r="BZ83" s="95"/>
      <c r="CA83" s="95"/>
      <c r="CB83" s="95"/>
      <c r="CC83" s="95"/>
      <c r="CD83" s="95"/>
      <c r="CE83" s="95"/>
      <c r="CF83" s="95"/>
      <c r="CG83" s="95"/>
      <c r="CH83" s="95"/>
      <c r="CI83" s="95"/>
      <c r="CJ83" s="95"/>
      <c r="CK83" s="95"/>
      <c r="CL83" s="95"/>
      <c r="CM83" s="95"/>
      <c r="CN83" s="95"/>
      <c r="CO83" s="95"/>
      <c r="CP83" s="95"/>
      <c r="CQ83" s="95"/>
      <c r="CR83" s="95"/>
      <c r="CS83" s="95"/>
      <c r="CT83" s="95"/>
      <c r="CU83" s="95"/>
      <c r="CV83" s="95"/>
      <c r="CW83" s="95"/>
      <c r="CX83" s="95"/>
      <c r="CY83" s="95"/>
      <c r="CZ83" s="95"/>
      <c r="DA83" s="95"/>
      <c r="DB83" s="95"/>
      <c r="DC83" s="95"/>
      <c r="DD83" s="95"/>
      <c r="DE83" s="95"/>
      <c r="DF83" s="95"/>
      <c r="DG83" s="95"/>
      <c r="DH83" s="95"/>
      <c r="DI83" s="95"/>
      <c r="DJ83" s="95"/>
      <c r="DK83" s="95"/>
      <c r="DL83" s="95"/>
      <c r="DM83" s="95"/>
      <c r="DN83" s="95"/>
      <c r="DO83" s="95"/>
      <c r="DP83" s="95"/>
      <c r="DQ83" s="95"/>
      <c r="DR83" s="95"/>
      <c r="DS83" s="95"/>
      <c r="DT83" s="95"/>
      <c r="DU83" s="95"/>
      <c r="DV83" s="95"/>
      <c r="DW83" s="95"/>
      <c r="DX83" s="95"/>
      <c r="DY83" s="95"/>
      <c r="DZ83" s="95"/>
      <c r="EA83" s="95"/>
      <c r="EB83" s="95"/>
      <c r="EC83" s="95"/>
      <c r="ED83" s="95"/>
      <c r="EE83" s="95"/>
      <c r="EF83" s="95"/>
      <c r="EG83" s="95"/>
      <c r="EH83" s="95"/>
      <c r="EI83" s="95"/>
      <c r="EJ83" s="95"/>
      <c r="EK83" s="95"/>
      <c r="EL83" s="95"/>
      <c r="EM83" s="95"/>
      <c r="EN83" s="95"/>
      <c r="EO83" s="95"/>
      <c r="EP83" s="95"/>
      <c r="EQ83" s="95"/>
      <c r="ER83" s="95"/>
      <c r="ES83" s="95"/>
      <c r="ET83" s="95"/>
      <c r="EU83" s="95"/>
      <c r="EV83" s="95"/>
      <c r="EW83" s="95"/>
      <c r="EX83" s="95"/>
      <c r="EY83" s="95"/>
      <c r="EZ83" s="95"/>
      <c r="FA83" s="95"/>
      <c r="FB83" s="95"/>
      <c r="FC83" s="95"/>
      <c r="FD83" s="95"/>
      <c r="FE83" s="95"/>
      <c r="FF83" s="95"/>
      <c r="FG83" s="95"/>
      <c r="FH83" s="95"/>
      <c r="FI83" s="95"/>
      <c r="FJ83" s="95"/>
      <c r="FK83" s="95"/>
      <c r="FL83" s="95"/>
      <c r="FM83" s="95"/>
      <c r="FN83" s="95"/>
      <c r="FO83" s="95"/>
      <c r="FP83" s="95"/>
      <c r="FQ83" s="95"/>
      <c r="FR83" s="95"/>
      <c r="FS83" s="95"/>
      <c r="FT83" s="95"/>
      <c r="FU83" s="95"/>
      <c r="FV83" s="95"/>
      <c r="FW83" s="95"/>
      <c r="FX83" s="95"/>
      <c r="FY83" s="95"/>
      <c r="FZ83" s="95"/>
      <c r="GA83" s="95"/>
      <c r="GB83" s="95"/>
      <c r="GC83" s="95"/>
      <c r="GD83" s="95"/>
      <c r="GE83" s="95"/>
      <c r="GF83" s="95"/>
      <c r="GG83" s="95"/>
      <c r="GH83" s="95"/>
      <c r="GI83" s="95"/>
      <c r="GJ83" s="95"/>
      <c r="GK83" s="95"/>
      <c r="GL83" s="95"/>
      <c r="GM83" s="95"/>
      <c r="GN83" s="95"/>
      <c r="GO83" s="95"/>
      <c r="GP83" s="95"/>
      <c r="GQ83" s="95"/>
      <c r="GR83" s="95"/>
      <c r="GS83" s="95"/>
      <c r="GT83" s="95"/>
      <c r="GU83" s="95"/>
      <c r="GV83" s="95"/>
      <c r="GW83" s="95"/>
      <c r="GX83" s="95"/>
      <c r="GY83" s="95"/>
      <c r="GZ83" s="95"/>
      <c r="HA83" s="95"/>
      <c r="HB83" s="95"/>
      <c r="HC83" s="95"/>
      <c r="HD83" s="95"/>
      <c r="HE83" s="95"/>
      <c r="HF83" s="95"/>
      <c r="HG83" s="95"/>
      <c r="HH83" s="95"/>
      <c r="HI83" s="95"/>
      <c r="HJ83" s="95"/>
      <c r="HK83" s="95"/>
      <c r="HL83" s="95"/>
      <c r="HM83" s="95"/>
      <c r="HN83" s="95"/>
      <c r="HO83" s="95"/>
      <c r="HP83" s="95"/>
      <c r="HQ83" s="95"/>
      <c r="HR83" s="95"/>
      <c r="HS83" s="95"/>
      <c r="HT83" s="95"/>
      <c r="HU83" s="95"/>
      <c r="HV83" s="95"/>
      <c r="HW83" s="95"/>
      <c r="HX83" s="95"/>
      <c r="HY83" s="95"/>
      <c r="HZ83" s="95"/>
      <c r="IA83" s="95"/>
      <c r="IB83" s="95"/>
      <c r="IC83" s="95"/>
      <c r="ID83" s="95"/>
      <c r="IE83" s="95"/>
      <c r="IF83" s="95"/>
      <c r="IG83" s="95"/>
      <c r="IH83" s="95"/>
      <c r="II83" s="95"/>
      <c r="IJ83" s="95"/>
      <c r="IK83" s="95"/>
      <c r="IL83" s="95"/>
      <c r="IM83" s="95"/>
      <c r="IN83" s="95"/>
      <c r="IO83" s="95"/>
      <c r="IP83" s="95"/>
      <c r="IQ83" s="95"/>
      <c r="IR83" s="95"/>
    </row>
    <row r="84" spans="1:252" ht="15.6" x14ac:dyDescent="0.3">
      <c r="A84" s="103" t="s">
        <v>174</v>
      </c>
      <c r="B84" s="104" t="s">
        <v>81</v>
      </c>
      <c r="C84" s="104" t="s">
        <v>182</v>
      </c>
      <c r="D84" s="105" t="s">
        <v>183</v>
      </c>
      <c r="E84" s="99">
        <v>217.88</v>
      </c>
      <c r="F84" s="100">
        <v>5891.93</v>
      </c>
      <c r="G84" s="101">
        <f>(($O$28*F84)/$K$19)</f>
        <v>77.939547189010426</v>
      </c>
      <c r="H84" s="100">
        <v>215.04</v>
      </c>
      <c r="I84" s="101">
        <f>(($O$28*H84)/$K$19)</f>
        <v>2.8445891630628339</v>
      </c>
      <c r="J84" s="100">
        <v>56.5</v>
      </c>
      <c r="K84" s="101">
        <f>(($O$28*J84)/$K$19)</f>
        <v>0.74739252098702624</v>
      </c>
      <c r="L84" s="100">
        <v>644.98</v>
      </c>
      <c r="M84" s="101">
        <f>(($O$28*L84)/$K$19)</f>
        <v>8.5319155431187994</v>
      </c>
      <c r="N84" s="102">
        <v>5</v>
      </c>
      <c r="O84" s="101">
        <f>(($O$28*N84)/$K$19)</f>
        <v>6.6140931060798783E-2</v>
      </c>
      <c r="P84" s="95"/>
      <c r="Q84" s="95"/>
      <c r="R84" s="103" t="s">
        <v>174</v>
      </c>
      <c r="S84" s="104" t="s">
        <v>81</v>
      </c>
      <c r="T84" s="104" t="s">
        <v>182</v>
      </c>
      <c r="U84" s="105" t="s">
        <v>183</v>
      </c>
      <c r="V84" s="99">
        <v>217.88</v>
      </c>
      <c r="W84" s="100">
        <v>5891.93</v>
      </c>
      <c r="X84" s="101">
        <f>(($Y$29*W84)/$K$19)</f>
        <v>5.8985029989139166</v>
      </c>
      <c r="Y84" s="100">
        <v>215.04</v>
      </c>
      <c r="Z84" s="101">
        <f>(($Y$29*Y84)/$K$19)</f>
        <v>0.21527989723001606</v>
      </c>
      <c r="AA84" s="100">
        <v>56.5</v>
      </c>
      <c r="AB84" s="101">
        <f>(($Y$29*AA84)/$K$19)</f>
        <v>5.6563031033742127E-2</v>
      </c>
      <c r="AC84" s="100">
        <v>644.98</v>
      </c>
      <c r="AD84" s="101">
        <f>(($Y$29*AC84)/$K$19)</f>
        <v>0.6456995355069558</v>
      </c>
      <c r="AE84" s="102">
        <v>5</v>
      </c>
      <c r="AF84" s="101">
        <f>(($Y$29*AE84)/$K$19)</f>
        <v>5.0055779675877996E-3</v>
      </c>
      <c r="AG84" s="95"/>
      <c r="AH84" s="95"/>
      <c r="AI84" s="95"/>
      <c r="AJ84" s="95"/>
      <c r="AK84" s="95"/>
      <c r="AL84" s="95"/>
      <c r="AM84" s="95"/>
      <c r="AN84" s="95"/>
      <c r="AO84" s="95"/>
      <c r="AP84" s="95"/>
      <c r="AQ84" s="95"/>
      <c r="AR84" s="95"/>
      <c r="AS84" s="95"/>
      <c r="AT84" s="95"/>
      <c r="AU84" s="95"/>
      <c r="AV84" s="95"/>
      <c r="AW84" s="95"/>
      <c r="AX84" s="95"/>
      <c r="AY84" s="95"/>
      <c r="AZ84" s="95"/>
      <c r="BA84" s="95"/>
      <c r="BB84" s="95"/>
      <c r="BC84" s="95"/>
      <c r="BD84" s="95"/>
      <c r="BE84" s="95"/>
      <c r="BF84" s="95"/>
      <c r="BG84" s="95"/>
      <c r="BH84" s="95"/>
      <c r="BI84" s="95"/>
      <c r="BJ84" s="95"/>
      <c r="BK84" s="95"/>
      <c r="BL84" s="95"/>
      <c r="BM84" s="95"/>
      <c r="BN84" s="95"/>
      <c r="BO84" s="95"/>
      <c r="BP84" s="95"/>
      <c r="BQ84" s="95"/>
      <c r="BR84" s="95"/>
      <c r="BS84" s="95"/>
      <c r="BT84" s="95"/>
      <c r="BU84" s="95"/>
      <c r="BV84" s="95"/>
      <c r="BW84" s="95"/>
      <c r="BX84" s="95"/>
      <c r="BY84" s="95"/>
      <c r="BZ84" s="95"/>
      <c r="CA84" s="95"/>
      <c r="CB84" s="95"/>
      <c r="CC84" s="95"/>
      <c r="CD84" s="95"/>
      <c r="CE84" s="95"/>
      <c r="CF84" s="95"/>
      <c r="CG84" s="95"/>
      <c r="CH84" s="95"/>
      <c r="CI84" s="95"/>
      <c r="CJ84" s="95"/>
      <c r="CK84" s="95"/>
      <c r="CL84" s="95"/>
      <c r="CM84" s="95"/>
      <c r="CN84" s="95"/>
      <c r="CO84" s="95"/>
      <c r="CP84" s="95"/>
      <c r="CQ84" s="95"/>
      <c r="CR84" s="95"/>
      <c r="CS84" s="95"/>
      <c r="CT84" s="95"/>
      <c r="CU84" s="95"/>
      <c r="CV84" s="95"/>
      <c r="CW84" s="95"/>
      <c r="CX84" s="95"/>
      <c r="CY84" s="95"/>
      <c r="CZ84" s="95"/>
      <c r="DA84" s="95"/>
      <c r="DB84" s="95"/>
      <c r="DC84" s="95"/>
      <c r="DD84" s="95"/>
      <c r="DE84" s="95"/>
      <c r="DF84" s="95"/>
      <c r="DG84" s="95"/>
      <c r="DH84" s="95"/>
      <c r="DI84" s="95"/>
      <c r="DJ84" s="95"/>
      <c r="DK84" s="95"/>
      <c r="DL84" s="95"/>
      <c r="DM84" s="95"/>
      <c r="DN84" s="95"/>
      <c r="DO84" s="95"/>
      <c r="DP84" s="95"/>
      <c r="DQ84" s="95"/>
      <c r="DR84" s="95"/>
      <c r="DS84" s="95"/>
      <c r="DT84" s="95"/>
      <c r="DU84" s="95"/>
      <c r="DV84" s="95"/>
      <c r="DW84" s="95"/>
      <c r="DX84" s="95"/>
      <c r="DY84" s="95"/>
      <c r="DZ84" s="95"/>
      <c r="EA84" s="95"/>
      <c r="EB84" s="95"/>
      <c r="EC84" s="95"/>
      <c r="ED84" s="95"/>
      <c r="EE84" s="95"/>
      <c r="EF84" s="95"/>
      <c r="EG84" s="95"/>
      <c r="EH84" s="95"/>
      <c r="EI84" s="95"/>
      <c r="EJ84" s="95"/>
      <c r="EK84" s="95"/>
      <c r="EL84" s="95"/>
      <c r="EM84" s="95"/>
      <c r="EN84" s="95"/>
      <c r="EO84" s="95"/>
      <c r="EP84" s="95"/>
      <c r="EQ84" s="95"/>
      <c r="ER84" s="95"/>
      <c r="ES84" s="95"/>
      <c r="ET84" s="95"/>
      <c r="EU84" s="95"/>
      <c r="EV84" s="95"/>
      <c r="EW84" s="95"/>
      <c r="EX84" s="95"/>
      <c r="EY84" s="95"/>
      <c r="EZ84" s="95"/>
      <c r="FA84" s="95"/>
      <c r="FB84" s="95"/>
      <c r="FC84" s="95"/>
      <c r="FD84" s="95"/>
      <c r="FE84" s="95"/>
      <c r="FF84" s="95"/>
      <c r="FG84" s="95"/>
      <c r="FH84" s="95"/>
      <c r="FI84" s="95"/>
      <c r="FJ84" s="95"/>
      <c r="FK84" s="95"/>
      <c r="FL84" s="95"/>
      <c r="FM84" s="95"/>
      <c r="FN84" s="95"/>
      <c r="FO84" s="95"/>
      <c r="FP84" s="95"/>
      <c r="FQ84" s="95"/>
      <c r="FR84" s="95"/>
      <c r="FS84" s="95"/>
      <c r="FT84" s="95"/>
      <c r="FU84" s="95"/>
      <c r="FV84" s="95"/>
      <c r="FW84" s="95"/>
      <c r="FX84" s="95"/>
      <c r="FY84" s="95"/>
      <c r="FZ84" s="95"/>
      <c r="GA84" s="95"/>
      <c r="GB84" s="95"/>
      <c r="GC84" s="95"/>
      <c r="GD84" s="95"/>
      <c r="GE84" s="95"/>
      <c r="GF84" s="95"/>
      <c r="GG84" s="95"/>
      <c r="GH84" s="95"/>
      <c r="GI84" s="95"/>
      <c r="GJ84" s="95"/>
      <c r="GK84" s="95"/>
      <c r="GL84" s="95"/>
      <c r="GM84" s="95"/>
      <c r="GN84" s="95"/>
      <c r="GO84" s="95"/>
      <c r="GP84" s="95"/>
      <c r="GQ84" s="95"/>
      <c r="GR84" s="95"/>
      <c r="GS84" s="95"/>
      <c r="GT84" s="95"/>
      <c r="GU84" s="95"/>
      <c r="GV84" s="95"/>
      <c r="GW84" s="95"/>
      <c r="GX84" s="95"/>
      <c r="GY84" s="95"/>
      <c r="GZ84" s="95"/>
      <c r="HA84" s="95"/>
      <c r="HB84" s="95"/>
      <c r="HC84" s="95"/>
      <c r="HD84" s="95"/>
      <c r="HE84" s="95"/>
      <c r="HF84" s="95"/>
      <c r="HG84" s="95"/>
      <c r="HH84" s="95"/>
      <c r="HI84" s="95"/>
      <c r="HJ84" s="95"/>
      <c r="HK84" s="95"/>
      <c r="HL84" s="95"/>
      <c r="HM84" s="95"/>
      <c r="HN84" s="95"/>
      <c r="HO84" s="95"/>
      <c r="HP84" s="95"/>
      <c r="HQ84" s="95"/>
      <c r="HR84" s="95"/>
      <c r="HS84" s="95"/>
      <c r="HT84" s="95"/>
      <c r="HU84" s="95"/>
      <c r="HV84" s="95"/>
      <c r="HW84" s="95"/>
      <c r="HX84" s="95"/>
      <c r="HY84" s="95"/>
      <c r="HZ84" s="95"/>
      <c r="IA84" s="95"/>
      <c r="IB84" s="95"/>
      <c r="IC84" s="95"/>
      <c r="ID84" s="95"/>
      <c r="IE84" s="95"/>
      <c r="IF84" s="95"/>
      <c r="IG84" s="95"/>
      <c r="IH84" s="95"/>
      <c r="II84" s="95"/>
      <c r="IJ84" s="95"/>
      <c r="IK84" s="95"/>
      <c r="IL84" s="95"/>
      <c r="IM84" s="95"/>
      <c r="IN84" s="95"/>
      <c r="IO84" s="95"/>
      <c r="IP84" s="95"/>
      <c r="IQ84" s="95"/>
      <c r="IR84" s="95"/>
    </row>
    <row r="85" spans="1:252" ht="15.6" x14ac:dyDescent="0.3">
      <c r="A85" s="103" t="s">
        <v>174</v>
      </c>
      <c r="B85" s="104" t="s">
        <v>81</v>
      </c>
      <c r="C85" s="104" t="s">
        <v>184</v>
      </c>
      <c r="D85" s="105" t="s">
        <v>185</v>
      </c>
      <c r="E85" s="99">
        <v>195.45</v>
      </c>
      <c r="F85" s="100">
        <v>3773.28</v>
      </c>
      <c r="G85" s="101">
        <f>(($O$29*F85)/$K$19)</f>
        <v>17.277802085983211</v>
      </c>
      <c r="H85" s="100">
        <v>117.67</v>
      </c>
      <c r="I85" s="101">
        <f>(($O$29*H85)/$K$19)</f>
        <v>0.53880946324090562</v>
      </c>
      <c r="J85" s="102">
        <v>3.39</v>
      </c>
      <c r="K85" s="101">
        <f>(($O$29*J85)/$K$19)</f>
        <v>1.5522767743576698E-2</v>
      </c>
      <c r="L85" s="100">
        <v>578.59</v>
      </c>
      <c r="M85" s="101">
        <f>(($O$29*L85)/$K$19)</f>
        <v>2.6493563978631394</v>
      </c>
      <c r="N85" s="100">
        <v>12.43</v>
      </c>
      <c r="O85" s="101">
        <f>(($O$29*N85)/$K$19)</f>
        <v>5.6916815059781231E-2</v>
      </c>
      <c r="P85" s="95"/>
      <c r="Q85" s="95"/>
      <c r="R85" s="103" t="s">
        <v>174</v>
      </c>
      <c r="S85" s="104" t="s">
        <v>81</v>
      </c>
      <c r="T85" s="104" t="s">
        <v>184</v>
      </c>
      <c r="U85" s="105" t="s">
        <v>185</v>
      </c>
      <c r="V85" s="99">
        <v>195.45</v>
      </c>
      <c r="W85" s="100">
        <v>3773.28</v>
      </c>
      <c r="X85" s="101">
        <f>(($Y$30*W85)/$S$41)</f>
        <v>17.277802085983215</v>
      </c>
      <c r="Y85" s="100">
        <v>117.67</v>
      </c>
      <c r="Z85" s="101">
        <f>(($Y$30*Y85)/$S$41)</f>
        <v>0.53880946324090562</v>
      </c>
      <c r="AA85" s="102">
        <v>3.39</v>
      </c>
      <c r="AB85" s="101">
        <f>(($Y$30*AA85)/$S$41)</f>
        <v>1.55227677435767E-2</v>
      </c>
      <c r="AC85" s="100">
        <v>578.59</v>
      </c>
      <c r="AD85" s="101">
        <f>(($Y$30*AC85)/$S$41)</f>
        <v>2.6493563978631398</v>
      </c>
      <c r="AE85" s="100">
        <v>12.43</v>
      </c>
      <c r="AF85" s="101">
        <f>(($Y$30*AE85)/$S$41)</f>
        <v>5.6916815059781224E-2</v>
      </c>
      <c r="AG85" s="95"/>
      <c r="AH85" s="95"/>
      <c r="AI85" s="95"/>
      <c r="AJ85" s="95"/>
      <c r="AK85" s="95"/>
      <c r="AL85" s="95"/>
      <c r="AM85" s="95"/>
      <c r="AN85" s="95"/>
      <c r="AO85" s="95"/>
      <c r="AP85" s="95"/>
      <c r="AQ85" s="95"/>
      <c r="AR85" s="95"/>
      <c r="AS85" s="95"/>
      <c r="AT85" s="95"/>
      <c r="AU85" s="95"/>
      <c r="AV85" s="95"/>
      <c r="AW85" s="95"/>
      <c r="AX85" s="95"/>
      <c r="AY85" s="95"/>
      <c r="AZ85" s="95"/>
      <c r="BA85" s="95"/>
      <c r="BB85" s="95"/>
      <c r="BC85" s="95"/>
      <c r="BD85" s="95"/>
      <c r="BE85" s="95"/>
      <c r="BF85" s="95"/>
      <c r="BG85" s="95"/>
      <c r="BH85" s="95"/>
      <c r="BI85" s="95"/>
      <c r="BJ85" s="95"/>
      <c r="BK85" s="95"/>
      <c r="BL85" s="95"/>
      <c r="BM85" s="95"/>
      <c r="BN85" s="95"/>
      <c r="BO85" s="95"/>
      <c r="BP85" s="95"/>
      <c r="BQ85" s="95"/>
      <c r="BR85" s="95"/>
      <c r="BS85" s="95"/>
      <c r="BT85" s="95"/>
      <c r="BU85" s="95"/>
      <c r="BV85" s="95"/>
      <c r="BW85" s="95"/>
      <c r="BX85" s="95"/>
      <c r="BY85" s="95"/>
      <c r="BZ85" s="95"/>
      <c r="CA85" s="95"/>
      <c r="CB85" s="95"/>
      <c r="CC85" s="95"/>
      <c r="CD85" s="95"/>
      <c r="CE85" s="95"/>
      <c r="CF85" s="95"/>
      <c r="CG85" s="95"/>
      <c r="CH85" s="95"/>
      <c r="CI85" s="95"/>
      <c r="CJ85" s="95"/>
      <c r="CK85" s="95"/>
      <c r="CL85" s="95"/>
      <c r="CM85" s="95"/>
      <c r="CN85" s="95"/>
      <c r="CO85" s="95"/>
      <c r="CP85" s="95"/>
      <c r="CQ85" s="95"/>
      <c r="CR85" s="95"/>
      <c r="CS85" s="95"/>
      <c r="CT85" s="95"/>
      <c r="CU85" s="95"/>
      <c r="CV85" s="95"/>
      <c r="CW85" s="95"/>
      <c r="CX85" s="95"/>
      <c r="CY85" s="95"/>
      <c r="CZ85" s="95"/>
      <c r="DA85" s="95"/>
      <c r="DB85" s="95"/>
      <c r="DC85" s="95"/>
      <c r="DD85" s="95"/>
      <c r="DE85" s="95"/>
      <c r="DF85" s="95"/>
      <c r="DG85" s="95"/>
      <c r="DH85" s="95"/>
      <c r="DI85" s="95"/>
      <c r="DJ85" s="95"/>
      <c r="DK85" s="95"/>
      <c r="DL85" s="95"/>
      <c r="DM85" s="95"/>
      <c r="DN85" s="95"/>
      <c r="DO85" s="95"/>
      <c r="DP85" s="95"/>
      <c r="DQ85" s="95"/>
      <c r="DR85" s="95"/>
      <c r="DS85" s="95"/>
      <c r="DT85" s="95"/>
      <c r="DU85" s="95"/>
      <c r="DV85" s="95"/>
      <c r="DW85" s="95"/>
      <c r="DX85" s="95"/>
      <c r="DY85" s="95"/>
      <c r="DZ85" s="95"/>
      <c r="EA85" s="95"/>
      <c r="EB85" s="95"/>
      <c r="EC85" s="95"/>
      <c r="ED85" s="95"/>
      <c r="EE85" s="95"/>
      <c r="EF85" s="95"/>
      <c r="EG85" s="95"/>
      <c r="EH85" s="95"/>
      <c r="EI85" s="95"/>
      <c r="EJ85" s="95"/>
      <c r="EK85" s="95"/>
      <c r="EL85" s="95"/>
      <c r="EM85" s="95"/>
      <c r="EN85" s="95"/>
      <c r="EO85" s="95"/>
      <c r="EP85" s="95"/>
      <c r="EQ85" s="95"/>
      <c r="ER85" s="95"/>
      <c r="ES85" s="95"/>
      <c r="ET85" s="95"/>
      <c r="EU85" s="95"/>
      <c r="EV85" s="95"/>
      <c r="EW85" s="95"/>
      <c r="EX85" s="95"/>
      <c r="EY85" s="95"/>
      <c r="EZ85" s="95"/>
      <c r="FA85" s="95"/>
      <c r="FB85" s="95"/>
      <c r="FC85" s="95"/>
      <c r="FD85" s="95"/>
      <c r="FE85" s="95"/>
      <c r="FF85" s="95"/>
      <c r="FG85" s="95"/>
      <c r="FH85" s="95"/>
      <c r="FI85" s="95"/>
      <c r="FJ85" s="95"/>
      <c r="FK85" s="95"/>
      <c r="FL85" s="95"/>
      <c r="FM85" s="95"/>
      <c r="FN85" s="95"/>
      <c r="FO85" s="95"/>
      <c r="FP85" s="95"/>
      <c r="FQ85" s="95"/>
      <c r="FR85" s="95"/>
      <c r="FS85" s="95"/>
      <c r="FT85" s="95"/>
      <c r="FU85" s="95"/>
      <c r="FV85" s="95"/>
      <c r="FW85" s="95"/>
      <c r="FX85" s="95"/>
      <c r="FY85" s="95"/>
      <c r="FZ85" s="95"/>
      <c r="GA85" s="95"/>
      <c r="GB85" s="95"/>
      <c r="GC85" s="95"/>
      <c r="GD85" s="95"/>
      <c r="GE85" s="95"/>
      <c r="GF85" s="95"/>
      <c r="GG85" s="95"/>
      <c r="GH85" s="95"/>
      <c r="GI85" s="95"/>
      <c r="GJ85" s="95"/>
      <c r="GK85" s="95"/>
      <c r="GL85" s="95"/>
      <c r="GM85" s="95"/>
      <c r="GN85" s="95"/>
      <c r="GO85" s="95"/>
      <c r="GP85" s="95"/>
      <c r="GQ85" s="95"/>
      <c r="GR85" s="95"/>
      <c r="GS85" s="95"/>
      <c r="GT85" s="95"/>
      <c r="GU85" s="95"/>
      <c r="GV85" s="95"/>
      <c r="GW85" s="95"/>
      <c r="GX85" s="95"/>
      <c r="GY85" s="95"/>
      <c r="GZ85" s="95"/>
      <c r="HA85" s="95"/>
      <c r="HB85" s="95"/>
      <c r="HC85" s="95"/>
      <c r="HD85" s="95"/>
      <c r="HE85" s="95"/>
      <c r="HF85" s="95"/>
      <c r="HG85" s="95"/>
      <c r="HH85" s="95"/>
      <c r="HI85" s="95"/>
      <c r="HJ85" s="95"/>
      <c r="HK85" s="95"/>
      <c r="HL85" s="95"/>
      <c r="HM85" s="95"/>
      <c r="HN85" s="95"/>
      <c r="HO85" s="95"/>
      <c r="HP85" s="95"/>
      <c r="HQ85" s="95"/>
      <c r="HR85" s="95"/>
      <c r="HS85" s="95"/>
      <c r="HT85" s="95"/>
      <c r="HU85" s="95"/>
      <c r="HV85" s="95"/>
      <c r="HW85" s="95"/>
      <c r="HX85" s="95"/>
      <c r="HY85" s="95"/>
      <c r="HZ85" s="95"/>
      <c r="IA85" s="95"/>
      <c r="IB85" s="95"/>
      <c r="IC85" s="95"/>
      <c r="ID85" s="95"/>
      <c r="IE85" s="95"/>
      <c r="IF85" s="95"/>
      <c r="IG85" s="95"/>
      <c r="IH85" s="95"/>
      <c r="II85" s="95"/>
      <c r="IJ85" s="95"/>
      <c r="IK85" s="95"/>
      <c r="IL85" s="95"/>
      <c r="IM85" s="95"/>
      <c r="IN85" s="95"/>
      <c r="IO85" s="95"/>
      <c r="IP85" s="95"/>
      <c r="IQ85" s="95"/>
      <c r="IR85" s="95"/>
    </row>
    <row r="86" spans="1:252" ht="15.6" x14ac:dyDescent="0.3">
      <c r="A86" s="103" t="s">
        <v>174</v>
      </c>
      <c r="B86" s="104" t="s">
        <v>81</v>
      </c>
      <c r="C86" s="104" t="s">
        <v>186</v>
      </c>
      <c r="D86" s="105" t="s">
        <v>187</v>
      </c>
      <c r="E86" s="99">
        <v>226.96</v>
      </c>
      <c r="F86" s="100">
        <v>2786.17</v>
      </c>
      <c r="G86" s="101">
        <f>(($O$30+$O$31)*F86)/$K$19</f>
        <v>36.147206817603667</v>
      </c>
      <c r="H86" s="100">
        <v>125.75</v>
      </c>
      <c r="I86" s="101">
        <f>(($O$30+$O$31)*H86)/$K$19</f>
        <v>1.6314551004833375</v>
      </c>
      <c r="J86" s="102">
        <v>4.04</v>
      </c>
      <c r="K86" s="101">
        <f>(($O$30+$O$31)*J86)/$K$19</f>
        <v>5.2414143983719151E-2</v>
      </c>
      <c r="L86" s="100">
        <v>671.86</v>
      </c>
      <c r="M86" s="101">
        <f>(($O$30+$O$31)*L86)/$K$19</f>
        <v>8.7165759348766212</v>
      </c>
      <c r="N86" s="100">
        <v>43.67</v>
      </c>
      <c r="O86" s="101">
        <f>(($O$30+$O$31)*N86)/$K$19</f>
        <v>0.56656575934876618</v>
      </c>
      <c r="P86" s="95"/>
      <c r="Q86" s="95"/>
      <c r="R86" s="103" t="s">
        <v>174</v>
      </c>
      <c r="S86" s="104" t="s">
        <v>81</v>
      </c>
      <c r="T86" s="104" t="s">
        <v>186</v>
      </c>
      <c r="U86" s="105" t="s">
        <v>187</v>
      </c>
      <c r="V86" s="99">
        <v>226.96</v>
      </c>
      <c r="W86" s="100">
        <v>2786.17</v>
      </c>
      <c r="X86" s="101">
        <f>(($Y$31+$Y$32)*W86)/$S$41</f>
        <v>36.14720681760366</v>
      </c>
      <c r="Y86" s="100">
        <v>125.75</v>
      </c>
      <c r="Z86" s="101">
        <f>(($Y$31+$Y$32)*Y86)/$S$41</f>
        <v>1.6314551004833378</v>
      </c>
      <c r="AA86" s="102">
        <v>4.04</v>
      </c>
      <c r="AB86" s="101">
        <f>(($Y$31+$Y$32)*AA86)/$S$41</f>
        <v>5.2414143983719151E-2</v>
      </c>
      <c r="AC86" s="100">
        <v>671.86</v>
      </c>
      <c r="AD86" s="101">
        <f>(($Y$31+$Y$32)*AC86)/$S$41</f>
        <v>8.716575934876623</v>
      </c>
      <c r="AE86" s="100">
        <v>43.67</v>
      </c>
      <c r="AF86" s="101">
        <f>(($Y$31+$Y$32)*AE86)/$S$41</f>
        <v>0.56656575934876618</v>
      </c>
      <c r="AG86" s="95"/>
      <c r="AH86" s="95"/>
      <c r="AI86" s="95"/>
      <c r="AJ86" s="95"/>
      <c r="AK86" s="95"/>
      <c r="AL86" s="95"/>
      <c r="AM86" s="95"/>
      <c r="AN86" s="95"/>
      <c r="AO86" s="95"/>
      <c r="AP86" s="95"/>
      <c r="AQ86" s="95"/>
      <c r="AR86" s="95"/>
      <c r="AS86" s="95"/>
      <c r="AT86" s="95"/>
      <c r="AU86" s="95"/>
      <c r="AV86" s="95"/>
      <c r="AW86" s="95"/>
      <c r="AX86" s="95"/>
      <c r="AY86" s="95"/>
      <c r="AZ86" s="95"/>
      <c r="BA86" s="95"/>
      <c r="BB86" s="95"/>
      <c r="BC86" s="95"/>
      <c r="BD86" s="95"/>
      <c r="BE86" s="95"/>
      <c r="BF86" s="95"/>
      <c r="BG86" s="95"/>
      <c r="BH86" s="95"/>
      <c r="BI86" s="95"/>
      <c r="BJ86" s="95"/>
      <c r="BK86" s="95"/>
      <c r="BL86" s="95"/>
      <c r="BM86" s="95"/>
      <c r="BN86" s="95"/>
      <c r="BO86" s="95"/>
      <c r="BP86" s="95"/>
      <c r="BQ86" s="95"/>
      <c r="BR86" s="95"/>
      <c r="BS86" s="95"/>
      <c r="BT86" s="95"/>
      <c r="BU86" s="95"/>
      <c r="BV86" s="95"/>
      <c r="BW86" s="95"/>
      <c r="BX86" s="95"/>
      <c r="BY86" s="95"/>
      <c r="BZ86" s="95"/>
      <c r="CA86" s="95"/>
      <c r="CB86" s="95"/>
      <c r="CC86" s="95"/>
      <c r="CD86" s="95"/>
      <c r="CE86" s="95"/>
      <c r="CF86" s="95"/>
      <c r="CG86" s="95"/>
      <c r="CH86" s="95"/>
      <c r="CI86" s="95"/>
      <c r="CJ86" s="95"/>
      <c r="CK86" s="95"/>
      <c r="CL86" s="95"/>
      <c r="CM86" s="95"/>
      <c r="CN86" s="95"/>
      <c r="CO86" s="95"/>
      <c r="CP86" s="95"/>
      <c r="CQ86" s="95"/>
      <c r="CR86" s="95"/>
      <c r="CS86" s="95"/>
      <c r="CT86" s="95"/>
      <c r="CU86" s="95"/>
      <c r="CV86" s="95"/>
      <c r="CW86" s="95"/>
      <c r="CX86" s="95"/>
      <c r="CY86" s="95"/>
      <c r="CZ86" s="95"/>
      <c r="DA86" s="95"/>
      <c r="DB86" s="95"/>
      <c r="DC86" s="95"/>
      <c r="DD86" s="95"/>
      <c r="DE86" s="95"/>
      <c r="DF86" s="95"/>
      <c r="DG86" s="95"/>
      <c r="DH86" s="95"/>
      <c r="DI86" s="95"/>
      <c r="DJ86" s="95"/>
      <c r="DK86" s="95"/>
      <c r="DL86" s="95"/>
      <c r="DM86" s="95"/>
      <c r="DN86" s="95"/>
      <c r="DO86" s="95"/>
      <c r="DP86" s="95"/>
      <c r="DQ86" s="95"/>
      <c r="DR86" s="95"/>
      <c r="DS86" s="95"/>
      <c r="DT86" s="95"/>
      <c r="DU86" s="95"/>
      <c r="DV86" s="95"/>
      <c r="DW86" s="95"/>
      <c r="DX86" s="95"/>
      <c r="DY86" s="95"/>
      <c r="DZ86" s="95"/>
      <c r="EA86" s="95"/>
      <c r="EB86" s="95"/>
      <c r="EC86" s="95"/>
      <c r="ED86" s="95"/>
      <c r="EE86" s="95"/>
      <c r="EF86" s="95"/>
      <c r="EG86" s="95"/>
      <c r="EH86" s="95"/>
      <c r="EI86" s="95"/>
      <c r="EJ86" s="95"/>
      <c r="EK86" s="95"/>
      <c r="EL86" s="95"/>
      <c r="EM86" s="95"/>
      <c r="EN86" s="95"/>
      <c r="EO86" s="95"/>
      <c r="EP86" s="95"/>
      <c r="EQ86" s="95"/>
      <c r="ER86" s="95"/>
      <c r="ES86" s="95"/>
      <c r="ET86" s="95"/>
      <c r="EU86" s="95"/>
      <c r="EV86" s="95"/>
      <c r="EW86" s="95"/>
      <c r="EX86" s="95"/>
      <c r="EY86" s="95"/>
      <c r="EZ86" s="95"/>
      <c r="FA86" s="95"/>
      <c r="FB86" s="95"/>
      <c r="FC86" s="95"/>
      <c r="FD86" s="95"/>
      <c r="FE86" s="95"/>
      <c r="FF86" s="95"/>
      <c r="FG86" s="95"/>
      <c r="FH86" s="95"/>
      <c r="FI86" s="95"/>
      <c r="FJ86" s="95"/>
      <c r="FK86" s="95"/>
      <c r="FL86" s="95"/>
      <c r="FM86" s="95"/>
      <c r="FN86" s="95"/>
      <c r="FO86" s="95"/>
      <c r="FP86" s="95"/>
      <c r="FQ86" s="95"/>
      <c r="FR86" s="95"/>
      <c r="FS86" s="95"/>
      <c r="FT86" s="95"/>
      <c r="FU86" s="95"/>
      <c r="FV86" s="95"/>
      <c r="FW86" s="95"/>
      <c r="FX86" s="95"/>
      <c r="FY86" s="95"/>
      <c r="FZ86" s="95"/>
      <c r="GA86" s="95"/>
      <c r="GB86" s="95"/>
      <c r="GC86" s="95"/>
      <c r="GD86" s="95"/>
      <c r="GE86" s="95"/>
      <c r="GF86" s="95"/>
      <c r="GG86" s="95"/>
      <c r="GH86" s="95"/>
      <c r="GI86" s="95"/>
      <c r="GJ86" s="95"/>
      <c r="GK86" s="95"/>
      <c r="GL86" s="95"/>
      <c r="GM86" s="95"/>
      <c r="GN86" s="95"/>
      <c r="GO86" s="95"/>
      <c r="GP86" s="95"/>
      <c r="GQ86" s="95"/>
      <c r="GR86" s="95"/>
      <c r="GS86" s="95"/>
      <c r="GT86" s="95"/>
      <c r="GU86" s="95"/>
      <c r="GV86" s="95"/>
      <c r="GW86" s="95"/>
      <c r="GX86" s="95"/>
      <c r="GY86" s="95"/>
      <c r="GZ86" s="95"/>
      <c r="HA86" s="95"/>
      <c r="HB86" s="95"/>
      <c r="HC86" s="95"/>
      <c r="HD86" s="95"/>
      <c r="HE86" s="95"/>
      <c r="HF86" s="95"/>
      <c r="HG86" s="95"/>
      <c r="HH86" s="95"/>
      <c r="HI86" s="95"/>
      <c r="HJ86" s="95"/>
      <c r="HK86" s="95"/>
      <c r="HL86" s="95"/>
      <c r="HM86" s="95"/>
      <c r="HN86" s="95"/>
      <c r="HO86" s="95"/>
      <c r="HP86" s="95"/>
      <c r="HQ86" s="95"/>
      <c r="HR86" s="95"/>
      <c r="HS86" s="95"/>
      <c r="HT86" s="95"/>
      <c r="HU86" s="95"/>
      <c r="HV86" s="95"/>
      <c r="HW86" s="95"/>
      <c r="HX86" s="95"/>
      <c r="HY86" s="95"/>
      <c r="HZ86" s="95"/>
      <c r="IA86" s="95"/>
      <c r="IB86" s="95"/>
      <c r="IC86" s="95"/>
      <c r="ID86" s="95"/>
      <c r="IE86" s="95"/>
      <c r="IF86" s="95"/>
      <c r="IG86" s="95"/>
      <c r="IH86" s="95"/>
      <c r="II86" s="95"/>
      <c r="IJ86" s="95"/>
      <c r="IK86" s="95"/>
      <c r="IL86" s="95"/>
      <c r="IM86" s="95"/>
      <c r="IN86" s="95"/>
      <c r="IO86" s="95"/>
      <c r="IP86" s="95"/>
      <c r="IQ86" s="95"/>
      <c r="IR86" s="95"/>
    </row>
    <row r="87" spans="1:252" ht="15.6" x14ac:dyDescent="0.3">
      <c r="A87" s="103" t="s">
        <v>174</v>
      </c>
      <c r="B87" s="104" t="s">
        <v>81</v>
      </c>
      <c r="C87" s="104" t="s">
        <v>188</v>
      </c>
      <c r="D87" s="105" t="s">
        <v>189</v>
      </c>
      <c r="E87" s="99">
        <v>246.34</v>
      </c>
      <c r="F87" s="100">
        <v>222.97</v>
      </c>
      <c r="G87" s="101">
        <f>(($O$32+$O$33+$O$34+$O$35+$O$36+$O$37)*F87)/$K$19</f>
        <v>5.6720936148562711</v>
      </c>
      <c r="H87" s="100">
        <v>103.3</v>
      </c>
      <c r="I87" s="101">
        <f>(($O$32+$O$33+$O$34+$O$35+$O$36+$O$37)*H87)/$K$19</f>
        <v>2.6278300686848128</v>
      </c>
      <c r="J87" s="102">
        <v>4.29</v>
      </c>
      <c r="K87" s="101">
        <f>(($O$32+$O$33+$O$34+$O$35+$O$36+$O$37)*J87)/$K$19</f>
        <v>0.10913253625031799</v>
      </c>
      <c r="L87" s="100">
        <v>729.24</v>
      </c>
      <c r="M87" s="101">
        <f>(($O$32+$O$33+$O$34+$O$35+$O$36+$O$37)*L87)/$K$19</f>
        <v>18.551004833375732</v>
      </c>
      <c r="N87" s="100">
        <v>43.75</v>
      </c>
      <c r="O87" s="101">
        <f>(($O$32+$O$33+$O$34+$O$35+$O$36+$O$37)*N87)/$K$19</f>
        <v>1.1129483591961333</v>
      </c>
      <c r="P87" s="95"/>
      <c r="Q87" s="95"/>
      <c r="R87" s="103" t="s">
        <v>174</v>
      </c>
      <c r="S87" s="104" t="s">
        <v>81</v>
      </c>
      <c r="T87" s="104" t="s">
        <v>188</v>
      </c>
      <c r="U87" s="105" t="s">
        <v>189</v>
      </c>
      <c r="V87" s="99">
        <v>246.34</v>
      </c>
      <c r="W87" s="100">
        <v>222.97</v>
      </c>
      <c r="X87" s="101">
        <f>(($Y$38+$Y$33+$Y$34+$Y$35+$Y$36+$Y$37)*W87)/$S$41</f>
        <v>5.6720936148562702</v>
      </c>
      <c r="Y87" s="100">
        <v>103.3</v>
      </c>
      <c r="Z87" s="101">
        <f>(($Y$38+$Y$33+$Y$34+$Y$35+$Y$36+$Y$37)*Y87)/$S$41</f>
        <v>2.6278300686848128</v>
      </c>
      <c r="AA87" s="102">
        <v>4.29</v>
      </c>
      <c r="AB87" s="101">
        <f>(($Y$38+$Y$33+$Y$34+$Y$35+$Y$36+$Y$37)*AA87)/$S$41</f>
        <v>0.10913253625031798</v>
      </c>
      <c r="AC87" s="100">
        <v>729.24</v>
      </c>
      <c r="AD87" s="101">
        <f>(($Y$38+$Y$33+$Y$34+$Y$35+$Y$36+$Y$37)*AC87)/$S$41</f>
        <v>18.551004833375728</v>
      </c>
      <c r="AE87" s="100">
        <v>43.75</v>
      </c>
      <c r="AF87" s="101">
        <f>(($Y$38+$Y$33+$Y$34+$Y$35+$Y$36+$Y$37)*AE87)/$S$41</f>
        <v>1.1129483591961331</v>
      </c>
      <c r="AG87" s="95"/>
      <c r="AH87" s="95"/>
      <c r="AI87" s="95"/>
      <c r="AJ87" s="95"/>
      <c r="AK87" s="95"/>
      <c r="AL87" s="95"/>
      <c r="AM87" s="95"/>
      <c r="AN87" s="95"/>
      <c r="AO87" s="95"/>
      <c r="AP87" s="95"/>
      <c r="AQ87" s="95"/>
      <c r="AR87" s="95"/>
      <c r="AS87" s="95"/>
      <c r="AT87" s="95"/>
      <c r="AU87" s="95"/>
      <c r="AV87" s="95"/>
      <c r="AW87" s="95"/>
      <c r="AX87" s="95"/>
      <c r="AY87" s="95"/>
      <c r="AZ87" s="95"/>
      <c r="BA87" s="95"/>
      <c r="BB87" s="95"/>
      <c r="BC87" s="95"/>
      <c r="BD87" s="95"/>
      <c r="BE87" s="95"/>
      <c r="BF87" s="95"/>
      <c r="BG87" s="95"/>
      <c r="BH87" s="95"/>
      <c r="BI87" s="95"/>
      <c r="BJ87" s="95"/>
      <c r="BK87" s="95"/>
      <c r="BL87" s="95"/>
      <c r="BM87" s="95"/>
      <c r="BN87" s="95"/>
      <c r="BO87" s="95"/>
      <c r="BP87" s="95"/>
      <c r="BQ87" s="95"/>
      <c r="BR87" s="95"/>
      <c r="BS87" s="95"/>
      <c r="BT87" s="95"/>
      <c r="BU87" s="95"/>
      <c r="BV87" s="95"/>
      <c r="BW87" s="95"/>
      <c r="BX87" s="95"/>
      <c r="BY87" s="95"/>
      <c r="BZ87" s="95"/>
      <c r="CA87" s="95"/>
      <c r="CB87" s="95"/>
      <c r="CC87" s="95"/>
      <c r="CD87" s="95"/>
      <c r="CE87" s="95"/>
      <c r="CF87" s="95"/>
      <c r="CG87" s="95"/>
      <c r="CH87" s="95"/>
      <c r="CI87" s="95"/>
      <c r="CJ87" s="95"/>
      <c r="CK87" s="95"/>
      <c r="CL87" s="95"/>
      <c r="CM87" s="95"/>
      <c r="CN87" s="95"/>
      <c r="CO87" s="95"/>
      <c r="CP87" s="95"/>
      <c r="CQ87" s="95"/>
      <c r="CR87" s="95"/>
      <c r="CS87" s="95"/>
      <c r="CT87" s="95"/>
      <c r="CU87" s="95"/>
      <c r="CV87" s="95"/>
      <c r="CW87" s="95"/>
      <c r="CX87" s="95"/>
      <c r="CY87" s="95"/>
      <c r="CZ87" s="95"/>
      <c r="DA87" s="95"/>
      <c r="DB87" s="95"/>
      <c r="DC87" s="95"/>
      <c r="DD87" s="95"/>
      <c r="DE87" s="95"/>
      <c r="DF87" s="95"/>
      <c r="DG87" s="95"/>
      <c r="DH87" s="95"/>
      <c r="DI87" s="95"/>
      <c r="DJ87" s="95"/>
      <c r="DK87" s="95"/>
      <c r="DL87" s="95"/>
      <c r="DM87" s="95"/>
      <c r="DN87" s="95"/>
      <c r="DO87" s="95"/>
      <c r="DP87" s="95"/>
      <c r="DQ87" s="95"/>
      <c r="DR87" s="95"/>
      <c r="DS87" s="95"/>
      <c r="DT87" s="95"/>
      <c r="DU87" s="95"/>
      <c r="DV87" s="95"/>
      <c r="DW87" s="95"/>
      <c r="DX87" s="95"/>
      <c r="DY87" s="95"/>
      <c r="DZ87" s="95"/>
      <c r="EA87" s="95"/>
      <c r="EB87" s="95"/>
      <c r="EC87" s="95"/>
      <c r="ED87" s="95"/>
      <c r="EE87" s="95"/>
      <c r="EF87" s="95"/>
      <c r="EG87" s="95"/>
      <c r="EH87" s="95"/>
      <c r="EI87" s="95"/>
      <c r="EJ87" s="95"/>
      <c r="EK87" s="95"/>
      <c r="EL87" s="95"/>
      <c r="EM87" s="95"/>
      <c r="EN87" s="95"/>
      <c r="EO87" s="95"/>
      <c r="EP87" s="95"/>
      <c r="EQ87" s="95"/>
      <c r="ER87" s="95"/>
      <c r="ES87" s="95"/>
      <c r="ET87" s="95"/>
      <c r="EU87" s="95"/>
      <c r="EV87" s="95"/>
      <c r="EW87" s="95"/>
      <c r="EX87" s="95"/>
      <c r="EY87" s="95"/>
      <c r="EZ87" s="95"/>
      <c r="FA87" s="95"/>
      <c r="FB87" s="95"/>
      <c r="FC87" s="95"/>
      <c r="FD87" s="95"/>
      <c r="FE87" s="95"/>
      <c r="FF87" s="95"/>
      <c r="FG87" s="95"/>
      <c r="FH87" s="95"/>
      <c r="FI87" s="95"/>
      <c r="FJ87" s="95"/>
      <c r="FK87" s="95"/>
      <c r="FL87" s="95"/>
      <c r="FM87" s="95"/>
      <c r="FN87" s="95"/>
      <c r="FO87" s="95"/>
      <c r="FP87" s="95"/>
      <c r="FQ87" s="95"/>
      <c r="FR87" s="95"/>
      <c r="FS87" s="95"/>
      <c r="FT87" s="95"/>
      <c r="FU87" s="95"/>
      <c r="FV87" s="95"/>
      <c r="FW87" s="95"/>
      <c r="FX87" s="95"/>
      <c r="FY87" s="95"/>
      <c r="FZ87" s="95"/>
      <c r="GA87" s="95"/>
      <c r="GB87" s="95"/>
      <c r="GC87" s="95"/>
      <c r="GD87" s="95"/>
      <c r="GE87" s="95"/>
      <c r="GF87" s="95"/>
      <c r="GG87" s="95"/>
      <c r="GH87" s="95"/>
      <c r="GI87" s="95"/>
      <c r="GJ87" s="95"/>
      <c r="GK87" s="95"/>
      <c r="GL87" s="95"/>
      <c r="GM87" s="95"/>
      <c r="GN87" s="95"/>
      <c r="GO87" s="95"/>
      <c r="GP87" s="95"/>
      <c r="GQ87" s="95"/>
      <c r="GR87" s="95"/>
      <c r="GS87" s="95"/>
      <c r="GT87" s="95"/>
      <c r="GU87" s="95"/>
      <c r="GV87" s="95"/>
      <c r="GW87" s="95"/>
      <c r="GX87" s="95"/>
      <c r="GY87" s="95"/>
      <c r="GZ87" s="95"/>
      <c r="HA87" s="95"/>
      <c r="HB87" s="95"/>
      <c r="HC87" s="95"/>
      <c r="HD87" s="95"/>
      <c r="HE87" s="95"/>
      <c r="HF87" s="95"/>
      <c r="HG87" s="95"/>
      <c r="HH87" s="95"/>
      <c r="HI87" s="95"/>
      <c r="HJ87" s="95"/>
      <c r="HK87" s="95"/>
      <c r="HL87" s="95"/>
      <c r="HM87" s="95"/>
      <c r="HN87" s="95"/>
      <c r="HO87" s="95"/>
      <c r="HP87" s="95"/>
      <c r="HQ87" s="95"/>
      <c r="HR87" s="95"/>
      <c r="HS87" s="95"/>
      <c r="HT87" s="95"/>
      <c r="HU87" s="95"/>
      <c r="HV87" s="95"/>
      <c r="HW87" s="95"/>
      <c r="HX87" s="95"/>
      <c r="HY87" s="95"/>
      <c r="HZ87" s="95"/>
      <c r="IA87" s="95"/>
      <c r="IB87" s="95"/>
      <c r="IC87" s="95"/>
      <c r="ID87" s="95"/>
      <c r="IE87" s="95"/>
      <c r="IF87" s="95"/>
      <c r="IG87" s="95"/>
      <c r="IH87" s="95"/>
      <c r="II87" s="95"/>
      <c r="IJ87" s="95"/>
      <c r="IK87" s="95"/>
      <c r="IL87" s="95"/>
      <c r="IM87" s="95"/>
      <c r="IN87" s="95"/>
      <c r="IO87" s="95"/>
      <c r="IP87" s="95"/>
      <c r="IQ87" s="95"/>
      <c r="IR87" s="95"/>
    </row>
    <row r="88" spans="1:252" ht="13.2" x14ac:dyDescent="0.25">
      <c r="G88" s="110">
        <f>SUM(G48:G87)</f>
        <v>1498.899755787332</v>
      </c>
      <c r="H88" s="111"/>
      <c r="I88" s="110">
        <f>SUM(I48:I87)</f>
        <v>100.67021495802595</v>
      </c>
      <c r="J88" s="111"/>
      <c r="K88" s="110">
        <f>SUM(K48:K87)</f>
        <v>9.6483801831595031</v>
      </c>
      <c r="L88" s="111"/>
      <c r="M88" s="110">
        <f>SUM(M48:M87)</f>
        <v>280.30508649198674</v>
      </c>
      <c r="N88" s="111"/>
      <c r="O88" s="110">
        <f>SUM(O48:O87)</f>
        <v>8.2791427117781744</v>
      </c>
      <c r="X88" s="112">
        <f>SUM(X48:X87)</f>
        <v>1436.5729210859145</v>
      </c>
      <c r="Y88" s="112"/>
      <c r="Z88" s="112">
        <f>SUM(Z48:Z87)</f>
        <v>98.855695821931121</v>
      </c>
      <c r="AA88" s="112"/>
      <c r="AB88" s="112">
        <f>SUM(AB48:AB87)</f>
        <v>8.9251136542848233</v>
      </c>
      <c r="AC88" s="112"/>
      <c r="AD88" s="112">
        <f>SUM(AD48:AD87)</f>
        <v>272.29688116867919</v>
      </c>
      <c r="AE88" s="112"/>
      <c r="AF88" s="112">
        <f>SUM(AF48:AF87)</f>
        <v>8.2160135911957735</v>
      </c>
    </row>
    <row r="90" spans="1:252" ht="13.2" x14ac:dyDescent="0.25">
      <c r="A90" s="59" t="s">
        <v>87</v>
      </c>
    </row>
    <row r="91" spans="1:252" ht="13.2" x14ac:dyDescent="0.25">
      <c r="A91" s="60" t="s">
        <v>88</v>
      </c>
    </row>
    <row r="92" spans="1:252" ht="13.2" x14ac:dyDescent="0.25">
      <c r="A92" s="60" t="s">
        <v>89</v>
      </c>
    </row>
    <row r="93" spans="1:252" ht="13.2" x14ac:dyDescent="0.25">
      <c r="A93" s="60" t="s">
        <v>90</v>
      </c>
    </row>
    <row r="94" spans="1:252" ht="13.2" x14ac:dyDescent="0.25">
      <c r="A94" s="60" t="s">
        <v>91</v>
      </c>
    </row>
    <row r="95" spans="1:252" ht="13.2" x14ac:dyDescent="0.25">
      <c r="A95" s="60" t="s">
        <v>92</v>
      </c>
    </row>
    <row r="96" spans="1:252" ht="13.2" x14ac:dyDescent="0.25">
      <c r="A96" s="60" t="s">
        <v>94</v>
      </c>
    </row>
    <row r="97" spans="1:14" ht="13.2" x14ac:dyDescent="0.25">
      <c r="A97" s="60"/>
    </row>
    <row r="98" spans="1:14" ht="13.2" x14ac:dyDescent="0.25">
      <c r="A98" s="59" t="s">
        <v>96</v>
      </c>
    </row>
    <row r="99" spans="1:14" ht="13.2" x14ac:dyDescent="0.25">
      <c r="A99" s="60" t="s">
        <v>97</v>
      </c>
    </row>
    <row r="100" spans="1:14" ht="13.2" x14ac:dyDescent="0.25">
      <c r="A100" s="60" t="s">
        <v>98</v>
      </c>
    </row>
    <row r="101" spans="1:14" ht="13.2" x14ac:dyDescent="0.25">
      <c r="A101" s="60" t="s">
        <v>99</v>
      </c>
    </row>
    <row r="102" spans="1:14" ht="13.2" x14ac:dyDescent="0.25">
      <c r="A102" s="60" t="s">
        <v>100</v>
      </c>
    </row>
    <row r="104" spans="1:14" ht="15.6" x14ac:dyDescent="0.25">
      <c r="B104" s="63" t="s">
        <v>49</v>
      </c>
      <c r="C104" s="63" t="s">
        <v>51</v>
      </c>
      <c r="D104" s="49" t="s">
        <v>53</v>
      </c>
      <c r="E104" s="49" t="s">
        <v>55</v>
      </c>
      <c r="F104" s="49" t="s">
        <v>57</v>
      </c>
      <c r="J104" s="63" t="s">
        <v>49</v>
      </c>
      <c r="K104" s="63" t="s">
        <v>51</v>
      </c>
      <c r="L104" s="49" t="s">
        <v>53</v>
      </c>
      <c r="M104" s="49" t="s">
        <v>55</v>
      </c>
      <c r="N104" s="49" t="s">
        <v>57</v>
      </c>
    </row>
    <row r="105" spans="1:14" ht="15.6" x14ac:dyDescent="0.3">
      <c r="B105" s="52" t="s">
        <v>60</v>
      </c>
      <c r="C105" s="52" t="s">
        <v>60</v>
      </c>
      <c r="D105" s="51" t="s">
        <v>60</v>
      </c>
      <c r="E105" s="51" t="s">
        <v>59</v>
      </c>
      <c r="F105" s="51" t="s">
        <v>60</v>
      </c>
      <c r="J105" s="52" t="s">
        <v>60</v>
      </c>
      <c r="K105" s="52" t="s">
        <v>60</v>
      </c>
      <c r="L105" s="51" t="s">
        <v>60</v>
      </c>
      <c r="M105" s="51" t="s">
        <v>59</v>
      </c>
      <c r="N105" s="51" t="s">
        <v>60</v>
      </c>
    </row>
    <row r="106" spans="1:14" ht="52.8" x14ac:dyDescent="0.25">
      <c r="A106" s="64" t="s">
        <v>190</v>
      </c>
      <c r="B106" s="65">
        <f>G88</f>
        <v>1498.899755787332</v>
      </c>
      <c r="C106" s="65">
        <f>I88</f>
        <v>100.67021495802595</v>
      </c>
      <c r="D106" s="65">
        <f>K88</f>
        <v>9.6483801831595031</v>
      </c>
      <c r="E106" s="65">
        <f>M88</f>
        <v>280.30508649198674</v>
      </c>
      <c r="F106" s="65">
        <f>O88</f>
        <v>8.2791427117781744</v>
      </c>
      <c r="I106" s="64" t="s">
        <v>191</v>
      </c>
      <c r="J106" s="65">
        <f>X88</f>
        <v>1436.5729210859145</v>
      </c>
      <c r="K106" s="65">
        <f>Z88</f>
        <v>98.855695821931121</v>
      </c>
      <c r="L106" s="65">
        <f>AB88</f>
        <v>8.9251136542848233</v>
      </c>
      <c r="M106" s="65">
        <f>AD88</f>
        <v>272.29688116867919</v>
      </c>
      <c r="N106" s="65">
        <f>AF88</f>
        <v>8.2160135911957735</v>
      </c>
    </row>
  </sheetData>
  <mergeCells count="14">
    <mergeCell ref="T24:X24"/>
    <mergeCell ref="A46:A47"/>
    <mergeCell ref="B46:B47"/>
    <mergeCell ref="C46:C47"/>
    <mergeCell ref="D46:D47"/>
    <mergeCell ref="R46:R47"/>
    <mergeCell ref="S46:S47"/>
    <mergeCell ref="T46:T47"/>
    <mergeCell ref="U46:U47"/>
    <mergeCell ref="B1:J1"/>
    <mergeCell ref="N1:W1"/>
    <mergeCell ref="B22:J22"/>
    <mergeCell ref="N22:P22"/>
    <mergeCell ref="S23:Y23"/>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151"/>
  <sheetViews>
    <sheetView zoomScale="80" zoomScaleNormal="80" workbookViewId="0">
      <selection activeCell="A3" sqref="A3"/>
    </sheetView>
  </sheetViews>
  <sheetFormatPr defaultColWidth="11.5546875" defaultRowHeight="14.7" customHeight="1" x14ac:dyDescent="0.25"/>
  <cols>
    <col min="1" max="1" width="38.6640625" style="95" customWidth="1"/>
    <col min="2" max="2" width="14.88671875" style="95" customWidth="1"/>
    <col min="3" max="4" width="30" style="95" customWidth="1"/>
    <col min="5" max="5" width="13.44140625" style="95" customWidth="1"/>
    <col min="6" max="6" width="7.21875" style="95" customWidth="1"/>
    <col min="7" max="7" width="9.21875" style="95" customWidth="1"/>
    <col min="8" max="8" width="7.21875" style="95" customWidth="1"/>
    <col min="9" max="9" width="7" style="95" customWidth="1"/>
    <col min="10" max="10" width="8.44140625" style="95" customWidth="1"/>
    <col min="11" max="11" width="17.6640625" style="95" customWidth="1"/>
    <col min="12" max="13" width="20.6640625" style="95" customWidth="1"/>
    <col min="14" max="248" width="9.21875" style="95" customWidth="1"/>
  </cols>
  <sheetData>
    <row r="1" spans="1:10" ht="15.6" x14ac:dyDescent="0.3">
      <c r="A1" s="113" t="s">
        <v>192</v>
      </c>
      <c r="B1" s="113"/>
      <c r="C1" s="113"/>
      <c r="D1" s="113"/>
      <c r="E1" s="113"/>
      <c r="F1" s="113"/>
      <c r="H1" s="113"/>
      <c r="I1" s="113"/>
    </row>
    <row r="2" spans="1:10" ht="12" customHeight="1" x14ac:dyDescent="0.25"/>
    <row r="3" spans="1:10" ht="33" customHeight="1" x14ac:dyDescent="0.25">
      <c r="A3" s="9" t="s">
        <v>44</v>
      </c>
      <c r="B3" s="9" t="s">
        <v>45</v>
      </c>
      <c r="C3" s="9" t="s">
        <v>46</v>
      </c>
      <c r="D3" s="9" t="s">
        <v>47</v>
      </c>
      <c r="E3" s="48" t="s">
        <v>48</v>
      </c>
      <c r="F3" s="63" t="s">
        <v>49</v>
      </c>
      <c r="G3" s="63" t="s">
        <v>51</v>
      </c>
      <c r="H3" s="49" t="s">
        <v>53</v>
      </c>
      <c r="I3" s="49" t="s">
        <v>55</v>
      </c>
      <c r="J3" s="49" t="s">
        <v>57</v>
      </c>
    </row>
    <row r="4" spans="1:10" ht="15.6" x14ac:dyDescent="0.3">
      <c r="A4" s="9"/>
      <c r="B4" s="9"/>
      <c r="C4" s="9"/>
      <c r="D4" s="9"/>
      <c r="E4" s="47" t="s">
        <v>59</v>
      </c>
      <c r="F4" s="52" t="s">
        <v>60</v>
      </c>
      <c r="G4" s="52" t="s">
        <v>60</v>
      </c>
      <c r="H4" s="51" t="s">
        <v>60</v>
      </c>
      <c r="I4" s="51" t="s">
        <v>59</v>
      </c>
      <c r="J4" s="51" t="s">
        <v>60</v>
      </c>
    </row>
    <row r="5" spans="1:10" ht="15.6" x14ac:dyDescent="0.3">
      <c r="A5" s="53" t="s">
        <v>61</v>
      </c>
      <c r="B5" s="53" t="s">
        <v>62</v>
      </c>
      <c r="C5" s="53" t="s">
        <v>63</v>
      </c>
      <c r="D5" s="53" t="s">
        <v>64</v>
      </c>
      <c r="E5" s="54">
        <v>61.54</v>
      </c>
      <c r="F5" s="56">
        <v>2149.08</v>
      </c>
      <c r="G5" s="56">
        <v>29.83</v>
      </c>
      <c r="H5" s="55">
        <v>116.35</v>
      </c>
      <c r="I5" s="55">
        <v>194.86</v>
      </c>
      <c r="J5" s="58">
        <v>7.9</v>
      </c>
    </row>
    <row r="6" spans="1:10" ht="15.6" x14ac:dyDescent="0.3">
      <c r="A6" s="53" t="s">
        <v>61</v>
      </c>
      <c r="B6" s="53" t="s">
        <v>62</v>
      </c>
      <c r="C6" s="53" t="s">
        <v>65</v>
      </c>
      <c r="D6" s="53" t="s">
        <v>66</v>
      </c>
      <c r="E6" s="54">
        <v>61.28</v>
      </c>
      <c r="F6" s="56">
        <v>752.89</v>
      </c>
      <c r="G6" s="56">
        <v>30.66</v>
      </c>
      <c r="H6" s="55">
        <v>24.82</v>
      </c>
      <c r="I6" s="55">
        <v>194.04</v>
      </c>
      <c r="J6" s="55">
        <v>14.64</v>
      </c>
    </row>
    <row r="7" spans="1:10" ht="15.6" x14ac:dyDescent="0.3">
      <c r="A7" s="53" t="s">
        <v>61</v>
      </c>
      <c r="B7" s="53" t="s">
        <v>62</v>
      </c>
      <c r="C7" s="53" t="s">
        <v>67</v>
      </c>
      <c r="D7" s="53" t="s">
        <v>68</v>
      </c>
      <c r="E7" s="54">
        <v>58.1</v>
      </c>
      <c r="F7" s="56">
        <v>393.4</v>
      </c>
      <c r="G7" s="56">
        <v>29.84</v>
      </c>
      <c r="H7" s="55">
        <v>35.03</v>
      </c>
      <c r="I7" s="55">
        <v>183.99</v>
      </c>
      <c r="J7" s="58">
        <v>7.32</v>
      </c>
    </row>
    <row r="8" spans="1:10" ht="15.6" x14ac:dyDescent="0.3">
      <c r="A8" s="53" t="s">
        <v>61</v>
      </c>
      <c r="B8" s="53" t="s">
        <v>62</v>
      </c>
      <c r="C8" s="53" t="s">
        <v>69</v>
      </c>
      <c r="D8" s="53" t="s">
        <v>70</v>
      </c>
      <c r="E8" s="54">
        <v>57.68</v>
      </c>
      <c r="F8" s="56">
        <v>105.07</v>
      </c>
      <c r="G8" s="56">
        <v>27.78</v>
      </c>
      <c r="H8" s="55">
        <v>24.21</v>
      </c>
      <c r="I8" s="55">
        <v>182.63</v>
      </c>
      <c r="J8" s="58">
        <v>2.5299999999999998</v>
      </c>
    </row>
    <row r="9" spans="1:10" ht="15.6" x14ac:dyDescent="0.3">
      <c r="A9" s="53" t="s">
        <v>61</v>
      </c>
      <c r="B9" s="53" t="s">
        <v>62</v>
      </c>
      <c r="C9" s="53" t="s">
        <v>71</v>
      </c>
      <c r="D9" s="53" t="s">
        <v>72</v>
      </c>
      <c r="E9" s="54">
        <v>59.21</v>
      </c>
      <c r="F9" s="56">
        <v>64.33</v>
      </c>
      <c r="G9" s="56">
        <v>27.5</v>
      </c>
      <c r="H9" s="55">
        <v>17.68</v>
      </c>
      <c r="I9" s="55">
        <v>187.49</v>
      </c>
      <c r="J9" s="58">
        <v>1.86</v>
      </c>
    </row>
    <row r="10" spans="1:10" ht="15.6" x14ac:dyDescent="0.3">
      <c r="A10" s="53" t="s">
        <v>61</v>
      </c>
      <c r="B10" s="53" t="s">
        <v>62</v>
      </c>
      <c r="C10" s="53" t="s">
        <v>73</v>
      </c>
      <c r="D10" s="53" t="s">
        <v>74</v>
      </c>
      <c r="E10" s="54">
        <v>57.88</v>
      </c>
      <c r="F10" s="56">
        <v>45.49</v>
      </c>
      <c r="G10" s="56">
        <v>26.69</v>
      </c>
      <c r="H10" s="55">
        <v>17.68</v>
      </c>
      <c r="I10" s="55">
        <v>183.28</v>
      </c>
      <c r="J10" s="58">
        <v>1.1000000000000001</v>
      </c>
    </row>
    <row r="11" spans="1:10" ht="15.6" x14ac:dyDescent="0.3">
      <c r="A11" s="53" t="s">
        <v>61</v>
      </c>
      <c r="B11" s="53" t="s">
        <v>62</v>
      </c>
      <c r="C11" s="53" t="s">
        <v>75</v>
      </c>
      <c r="D11" s="53" t="s">
        <v>76</v>
      </c>
      <c r="E11" s="54">
        <v>56.27</v>
      </c>
      <c r="F11" s="56">
        <v>26.67</v>
      </c>
      <c r="G11" s="56">
        <v>26.52</v>
      </c>
      <c r="H11" s="55">
        <v>17.68</v>
      </c>
      <c r="I11" s="55">
        <v>178.17</v>
      </c>
      <c r="J11" s="58">
        <v>1.08</v>
      </c>
    </row>
    <row r="12" spans="1:10" ht="15.6" x14ac:dyDescent="0.3">
      <c r="A12" s="53" t="s">
        <v>61</v>
      </c>
      <c r="B12" s="53" t="s">
        <v>62</v>
      </c>
      <c r="C12" s="53" t="s">
        <v>77</v>
      </c>
      <c r="D12" s="53" t="s">
        <v>78</v>
      </c>
      <c r="E12" s="54">
        <v>56.27</v>
      </c>
      <c r="F12" s="56">
        <v>26.67</v>
      </c>
      <c r="G12" s="56">
        <v>26.52</v>
      </c>
      <c r="H12" s="55">
        <v>17.68</v>
      </c>
      <c r="I12" s="55">
        <v>178.17</v>
      </c>
      <c r="J12" s="58">
        <v>1.08</v>
      </c>
    </row>
    <row r="13" spans="1:10" ht="15.6" x14ac:dyDescent="0.3">
      <c r="A13" s="53" t="s">
        <v>61</v>
      </c>
      <c r="B13" s="53" t="s">
        <v>62</v>
      </c>
      <c r="C13" s="53" t="s">
        <v>79</v>
      </c>
      <c r="D13" s="53" t="s">
        <v>80</v>
      </c>
      <c r="E13" s="54">
        <v>56.27</v>
      </c>
      <c r="F13" s="56">
        <v>26.67</v>
      </c>
      <c r="G13" s="56">
        <v>26.52</v>
      </c>
      <c r="H13" s="55">
        <v>17.68</v>
      </c>
      <c r="I13" s="55">
        <v>178.17</v>
      </c>
      <c r="J13" s="58">
        <v>1.08</v>
      </c>
    </row>
    <row r="14" spans="1:10" ht="15.6" x14ac:dyDescent="0.3">
      <c r="A14" s="53" t="s">
        <v>61</v>
      </c>
      <c r="B14" s="53" t="s">
        <v>81</v>
      </c>
      <c r="C14" s="53" t="s">
        <v>82</v>
      </c>
      <c r="D14" s="53" t="s">
        <v>83</v>
      </c>
      <c r="E14" s="54">
        <v>62.65</v>
      </c>
      <c r="F14" s="56">
        <v>698.68</v>
      </c>
      <c r="G14" s="56">
        <v>248.45</v>
      </c>
      <c r="H14" s="55">
        <v>17.8</v>
      </c>
      <c r="I14" s="55">
        <v>185.47</v>
      </c>
      <c r="J14" s="58">
        <v>0</v>
      </c>
    </row>
    <row r="15" spans="1:10" ht="15.6" x14ac:dyDescent="0.3">
      <c r="A15" s="53" t="s">
        <v>61</v>
      </c>
      <c r="B15" s="53" t="s">
        <v>81</v>
      </c>
      <c r="C15" s="53" t="s">
        <v>65</v>
      </c>
      <c r="D15" s="53" t="s">
        <v>66</v>
      </c>
      <c r="E15" s="54">
        <v>62.29</v>
      </c>
      <c r="F15" s="56">
        <v>683.49</v>
      </c>
      <c r="G15" s="56">
        <v>106.78</v>
      </c>
      <c r="H15" s="55">
        <v>10.91</v>
      </c>
      <c r="I15" s="55">
        <v>184.41</v>
      </c>
      <c r="J15" s="58">
        <v>3.09</v>
      </c>
    </row>
    <row r="16" spans="1:10" ht="15.6" x14ac:dyDescent="0.3">
      <c r="A16" s="53" t="s">
        <v>61</v>
      </c>
      <c r="B16" s="53" t="s">
        <v>81</v>
      </c>
      <c r="C16" s="53" t="s">
        <v>67</v>
      </c>
      <c r="D16" s="53" t="s">
        <v>68</v>
      </c>
      <c r="E16" s="54">
        <v>62.72</v>
      </c>
      <c r="F16" s="56">
        <v>990.57</v>
      </c>
      <c r="G16" s="56">
        <v>84.38</v>
      </c>
      <c r="H16" s="58">
        <v>4.4800000000000004</v>
      </c>
      <c r="I16" s="55">
        <v>185.68</v>
      </c>
      <c r="J16" s="58">
        <v>5.13</v>
      </c>
    </row>
    <row r="17" spans="1:10" ht="15.6" x14ac:dyDescent="0.3">
      <c r="A17" s="53" t="s">
        <v>61</v>
      </c>
      <c r="B17" s="53" t="s">
        <v>81</v>
      </c>
      <c r="C17" s="53" t="s">
        <v>69</v>
      </c>
      <c r="D17" s="53" t="s">
        <v>70</v>
      </c>
      <c r="E17" s="54">
        <v>58.2</v>
      </c>
      <c r="F17" s="56">
        <v>938.01</v>
      </c>
      <c r="G17" s="56">
        <v>68.099999999999994</v>
      </c>
      <c r="H17" s="58">
        <v>3</v>
      </c>
      <c r="I17" s="55">
        <v>172.28</v>
      </c>
      <c r="J17" s="58">
        <v>7.69</v>
      </c>
    </row>
    <row r="18" spans="1:10" ht="15.6" x14ac:dyDescent="0.3">
      <c r="A18" s="53" t="s">
        <v>61</v>
      </c>
      <c r="B18" s="53" t="s">
        <v>81</v>
      </c>
      <c r="C18" s="53" t="s">
        <v>71</v>
      </c>
      <c r="D18" s="53" t="s">
        <v>72</v>
      </c>
      <c r="E18" s="54">
        <v>56.05</v>
      </c>
      <c r="F18" s="56">
        <v>614.99</v>
      </c>
      <c r="G18" s="56">
        <v>65.37</v>
      </c>
      <c r="H18" s="58">
        <v>1.1000000000000001</v>
      </c>
      <c r="I18" s="55">
        <v>165.92</v>
      </c>
      <c r="J18" s="58">
        <v>7.63</v>
      </c>
    </row>
    <row r="19" spans="1:10" ht="15.6" x14ac:dyDescent="0.3">
      <c r="A19" s="53" t="s">
        <v>61</v>
      </c>
      <c r="B19" s="53" t="s">
        <v>81</v>
      </c>
      <c r="C19" s="53" t="s">
        <v>73</v>
      </c>
      <c r="D19" s="53" t="s">
        <v>74</v>
      </c>
      <c r="E19" s="54">
        <v>55.29</v>
      </c>
      <c r="F19" s="56">
        <v>637.27</v>
      </c>
      <c r="G19" s="56">
        <v>30.07</v>
      </c>
      <c r="H19" s="58">
        <v>7.0000000000000007E-2</v>
      </c>
      <c r="I19" s="55">
        <v>163.69</v>
      </c>
      <c r="J19" s="58">
        <v>7.63</v>
      </c>
    </row>
    <row r="20" spans="1:10" ht="15.6" x14ac:dyDescent="0.3">
      <c r="A20" s="53" t="s">
        <v>61</v>
      </c>
      <c r="B20" s="53" t="s">
        <v>81</v>
      </c>
      <c r="C20" s="53" t="s">
        <v>75</v>
      </c>
      <c r="D20" s="53" t="s">
        <v>76</v>
      </c>
      <c r="E20" s="54">
        <v>55.2</v>
      </c>
      <c r="F20" s="56">
        <v>513.72</v>
      </c>
      <c r="G20" s="56">
        <v>30.47</v>
      </c>
      <c r="H20" s="58">
        <v>7.0000000000000007E-2</v>
      </c>
      <c r="I20" s="55">
        <v>163.41999999999999</v>
      </c>
      <c r="J20" s="58">
        <v>6.77</v>
      </c>
    </row>
    <row r="21" spans="1:10" ht="15.6" x14ac:dyDescent="0.3">
      <c r="A21" s="53" t="s">
        <v>61</v>
      </c>
      <c r="B21" s="53" t="s">
        <v>81</v>
      </c>
      <c r="C21" s="53" t="s">
        <v>77</v>
      </c>
      <c r="D21" s="53" t="s">
        <v>84</v>
      </c>
      <c r="E21" s="54">
        <v>55.2</v>
      </c>
      <c r="F21" s="56">
        <v>81.19</v>
      </c>
      <c r="G21" s="56">
        <v>30.47</v>
      </c>
      <c r="H21" s="58">
        <v>7.0000000000000007E-2</v>
      </c>
      <c r="I21" s="55">
        <v>163.41999999999999</v>
      </c>
      <c r="J21" s="58">
        <v>6.77</v>
      </c>
    </row>
    <row r="22" spans="1:10" ht="15.6" x14ac:dyDescent="0.3">
      <c r="A22" s="53" t="s">
        <v>61</v>
      </c>
      <c r="B22" s="53" t="s">
        <v>81</v>
      </c>
      <c r="C22" s="53" t="s">
        <v>85</v>
      </c>
      <c r="D22" s="53" t="s">
        <v>80</v>
      </c>
      <c r="E22" s="54">
        <v>55.2</v>
      </c>
      <c r="F22" s="56">
        <v>69.22</v>
      </c>
      <c r="G22" s="56">
        <v>30.47</v>
      </c>
      <c r="H22" s="58">
        <v>7.0000000000000007E-2</v>
      </c>
      <c r="I22" s="55">
        <v>163.41999999999999</v>
      </c>
      <c r="J22" s="58">
        <v>6.77</v>
      </c>
    </row>
    <row r="23" spans="1:10" ht="15.6" x14ac:dyDescent="0.3">
      <c r="A23" s="53" t="s">
        <v>61</v>
      </c>
      <c r="B23" s="53" t="s">
        <v>86</v>
      </c>
      <c r="C23" s="53" t="s">
        <v>82</v>
      </c>
      <c r="D23" s="53" t="s">
        <v>83</v>
      </c>
      <c r="E23" s="54">
        <v>58.18</v>
      </c>
      <c r="F23" s="56">
        <v>2364.37</v>
      </c>
      <c r="G23" s="56">
        <v>31.06</v>
      </c>
      <c r="H23" s="55">
        <v>51.41</v>
      </c>
      <c r="I23" s="55">
        <v>174.65</v>
      </c>
      <c r="J23" s="58">
        <v>0</v>
      </c>
    </row>
    <row r="24" spans="1:10" ht="15.6" x14ac:dyDescent="0.3">
      <c r="A24" s="53" t="s">
        <v>61</v>
      </c>
      <c r="B24" s="53" t="s">
        <v>86</v>
      </c>
      <c r="C24" s="53" t="s">
        <v>65</v>
      </c>
      <c r="D24" s="53" t="s">
        <v>66</v>
      </c>
      <c r="E24" s="54">
        <v>58.03</v>
      </c>
      <c r="F24" s="56">
        <v>428.49</v>
      </c>
      <c r="G24" s="56">
        <v>31.99</v>
      </c>
      <c r="H24" s="55">
        <v>51.46</v>
      </c>
      <c r="I24" s="55">
        <v>174.19</v>
      </c>
      <c r="J24" s="55">
        <v>20.03</v>
      </c>
    </row>
    <row r="25" spans="1:10" ht="15.6" x14ac:dyDescent="0.3">
      <c r="A25" s="53" t="s">
        <v>61</v>
      </c>
      <c r="B25" s="53" t="s">
        <v>86</v>
      </c>
      <c r="C25" s="53" t="s">
        <v>67</v>
      </c>
      <c r="D25" s="53" t="s">
        <v>68</v>
      </c>
      <c r="E25" s="54">
        <v>57.98</v>
      </c>
      <c r="F25" s="56">
        <v>189.2</v>
      </c>
      <c r="G25" s="56">
        <v>31.75</v>
      </c>
      <c r="H25" s="55">
        <v>12.35</v>
      </c>
      <c r="I25" s="55">
        <v>174.04</v>
      </c>
      <c r="J25" s="58">
        <v>9.5299999999999994</v>
      </c>
    </row>
    <row r="26" spans="1:10" ht="15.6" x14ac:dyDescent="0.3">
      <c r="A26" s="53" t="s">
        <v>61</v>
      </c>
      <c r="B26" s="53" t="s">
        <v>86</v>
      </c>
      <c r="C26" s="53" t="s">
        <v>69</v>
      </c>
      <c r="D26" s="53" t="s">
        <v>70</v>
      </c>
      <c r="E26" s="54">
        <v>57.82</v>
      </c>
      <c r="F26" s="56">
        <v>103.62</v>
      </c>
      <c r="G26" s="56">
        <v>29.73</v>
      </c>
      <c r="H26" s="58">
        <v>2.69</v>
      </c>
      <c r="I26" s="55">
        <v>173.55</v>
      </c>
      <c r="J26" s="58">
        <v>4.12</v>
      </c>
    </row>
    <row r="27" spans="1:10" ht="15.6" x14ac:dyDescent="0.3">
      <c r="A27" s="53" t="s">
        <v>61</v>
      </c>
      <c r="B27" s="53" t="s">
        <v>86</v>
      </c>
      <c r="C27" s="53" t="s">
        <v>71</v>
      </c>
      <c r="D27" s="53" t="s">
        <v>72</v>
      </c>
      <c r="E27" s="54">
        <v>57.22</v>
      </c>
      <c r="F27" s="56">
        <v>62.69</v>
      </c>
      <c r="G27" s="56">
        <v>27.67</v>
      </c>
      <c r="H27" s="58">
        <v>1.89</v>
      </c>
      <c r="I27" s="55">
        <v>171.75</v>
      </c>
      <c r="J27" s="58">
        <v>4.0999999999999996</v>
      </c>
    </row>
    <row r="28" spans="1:10" ht="15.6" x14ac:dyDescent="0.3">
      <c r="A28" s="53" t="s">
        <v>61</v>
      </c>
      <c r="B28" s="53" t="s">
        <v>86</v>
      </c>
      <c r="C28" s="53" t="s">
        <v>73</v>
      </c>
      <c r="D28" s="53" t="s">
        <v>74</v>
      </c>
      <c r="E28" s="54">
        <v>57.14</v>
      </c>
      <c r="F28" s="56">
        <v>51.38</v>
      </c>
      <c r="G28" s="56">
        <v>27.64</v>
      </c>
      <c r="H28" s="58">
        <v>1.89</v>
      </c>
      <c r="I28" s="55">
        <v>171.52</v>
      </c>
      <c r="J28" s="58">
        <v>1.06</v>
      </c>
    </row>
    <row r="29" spans="1:10" ht="15.6" x14ac:dyDescent="0.3">
      <c r="A29" s="53" t="s">
        <v>61</v>
      </c>
      <c r="B29" s="53" t="s">
        <v>86</v>
      </c>
      <c r="C29" s="53" t="s">
        <v>75</v>
      </c>
      <c r="D29" s="53" t="s">
        <v>93</v>
      </c>
      <c r="E29" s="54">
        <v>52.84</v>
      </c>
      <c r="F29" s="56">
        <v>21.11</v>
      </c>
      <c r="G29" s="56">
        <v>27.48</v>
      </c>
      <c r="H29" s="58">
        <v>0.46</v>
      </c>
      <c r="I29" s="55">
        <v>158.61000000000001</v>
      </c>
      <c r="J29" s="58">
        <v>1.06</v>
      </c>
    </row>
    <row r="30" spans="1:10" ht="15.6" x14ac:dyDescent="0.3">
      <c r="A30" s="53" t="s">
        <v>61</v>
      </c>
      <c r="B30" s="53" t="s">
        <v>95</v>
      </c>
      <c r="C30" s="53" t="s">
        <v>82</v>
      </c>
      <c r="D30" s="53" t="s">
        <v>83</v>
      </c>
      <c r="E30" s="54">
        <v>62.01</v>
      </c>
      <c r="F30" s="56">
        <v>2364.15</v>
      </c>
      <c r="G30" s="56">
        <v>30.71</v>
      </c>
      <c r="H30" s="55">
        <v>53.23</v>
      </c>
      <c r="I30" s="55">
        <v>171.2</v>
      </c>
      <c r="J30" s="58">
        <v>7.9</v>
      </c>
    </row>
    <row r="31" spans="1:10" ht="15.6" x14ac:dyDescent="0.3">
      <c r="A31" s="53" t="s">
        <v>61</v>
      </c>
      <c r="B31" s="53" t="s">
        <v>95</v>
      </c>
      <c r="C31" s="53" t="s">
        <v>65</v>
      </c>
      <c r="D31" s="53" t="s">
        <v>66</v>
      </c>
      <c r="E31" s="54">
        <v>61.86</v>
      </c>
      <c r="F31" s="56">
        <v>427.98</v>
      </c>
      <c r="G31" s="56">
        <v>31.4</v>
      </c>
      <c r="H31" s="55">
        <v>72.91</v>
      </c>
      <c r="I31" s="55">
        <v>170.78</v>
      </c>
      <c r="J31" s="55">
        <v>14.64</v>
      </c>
    </row>
    <row r="32" spans="1:10" ht="15.6" x14ac:dyDescent="0.3">
      <c r="A32" s="53" t="s">
        <v>61</v>
      </c>
      <c r="B32" s="53" t="s">
        <v>95</v>
      </c>
      <c r="C32" s="53" t="s">
        <v>67</v>
      </c>
      <c r="D32" s="53" t="s">
        <v>68</v>
      </c>
      <c r="E32" s="54">
        <v>61.71</v>
      </c>
      <c r="F32" s="56">
        <v>189.05</v>
      </c>
      <c r="G32" s="56">
        <v>30.87</v>
      </c>
      <c r="H32" s="55">
        <v>34.130000000000003</v>
      </c>
      <c r="I32" s="55">
        <v>170.37</v>
      </c>
      <c r="J32" s="58">
        <v>7.32</v>
      </c>
    </row>
    <row r="33" spans="1:10" ht="15.6" x14ac:dyDescent="0.3">
      <c r="A33" s="53" t="s">
        <v>61</v>
      </c>
      <c r="B33" s="53" t="s">
        <v>95</v>
      </c>
      <c r="C33" s="53" t="s">
        <v>69</v>
      </c>
      <c r="D33" s="53" t="s">
        <v>70</v>
      </c>
      <c r="E33" s="54">
        <v>61.7</v>
      </c>
      <c r="F33" s="56">
        <v>103.48</v>
      </c>
      <c r="G33" s="56">
        <v>29.53</v>
      </c>
      <c r="H33" s="55">
        <v>24.54</v>
      </c>
      <c r="I33" s="55">
        <v>170.34</v>
      </c>
      <c r="J33" s="58">
        <v>2.5299999999999998</v>
      </c>
    </row>
    <row r="34" spans="1:10" ht="15.6" x14ac:dyDescent="0.3">
      <c r="A34" s="53" t="s">
        <v>61</v>
      </c>
      <c r="B34" s="53" t="s">
        <v>95</v>
      </c>
      <c r="C34" s="53" t="s">
        <v>71</v>
      </c>
      <c r="D34" s="53" t="s">
        <v>72</v>
      </c>
      <c r="E34" s="54">
        <v>61.15</v>
      </c>
      <c r="F34" s="56">
        <v>62.74</v>
      </c>
      <c r="G34" s="56">
        <v>27.92</v>
      </c>
      <c r="H34" s="55">
        <v>57.42</v>
      </c>
      <c r="I34" s="55">
        <v>168.8</v>
      </c>
      <c r="J34" s="58">
        <v>1.86</v>
      </c>
    </row>
    <row r="35" spans="1:10" ht="15.6" x14ac:dyDescent="0.3">
      <c r="A35" s="53" t="s">
        <v>61</v>
      </c>
      <c r="B35" s="53" t="s">
        <v>95</v>
      </c>
      <c r="C35" s="53" t="s">
        <v>73</v>
      </c>
      <c r="D35" s="53" t="s">
        <v>74</v>
      </c>
      <c r="E35" s="54">
        <v>60.87</v>
      </c>
      <c r="F35" s="56">
        <v>51.42</v>
      </c>
      <c r="G35" s="56">
        <v>27.11</v>
      </c>
      <c r="H35" s="55">
        <v>57.42</v>
      </c>
      <c r="I35" s="55">
        <v>168.04</v>
      </c>
      <c r="J35" s="58">
        <v>1.1000000000000001</v>
      </c>
    </row>
    <row r="36" spans="1:10" ht="15.6" x14ac:dyDescent="0.3">
      <c r="A36" s="53" t="s">
        <v>61</v>
      </c>
      <c r="B36" s="53" t="s">
        <v>95</v>
      </c>
      <c r="C36" s="53" t="s">
        <v>75</v>
      </c>
      <c r="D36" s="53" t="s">
        <v>76</v>
      </c>
      <c r="E36" s="54">
        <v>60.96</v>
      </c>
      <c r="F36" s="56">
        <v>35.47</v>
      </c>
      <c r="G36" s="56">
        <v>27.45</v>
      </c>
      <c r="H36" s="55">
        <v>57.42</v>
      </c>
      <c r="I36" s="55">
        <v>168.28</v>
      </c>
      <c r="J36" s="58">
        <v>1.08</v>
      </c>
    </row>
    <row r="37" spans="1:10" ht="15.6" x14ac:dyDescent="0.3">
      <c r="A37" s="53" t="s">
        <v>61</v>
      </c>
      <c r="B37" s="53" t="s">
        <v>101</v>
      </c>
      <c r="C37" s="53"/>
      <c r="D37" s="53"/>
      <c r="E37" s="61"/>
      <c r="F37" s="56"/>
      <c r="G37" s="56">
        <v>22.08</v>
      </c>
      <c r="H37" s="55"/>
      <c r="I37" s="55"/>
      <c r="J37" s="55"/>
    </row>
    <row r="38" spans="1:10" ht="15.6" x14ac:dyDescent="0.3">
      <c r="A38" s="96" t="s">
        <v>160</v>
      </c>
      <c r="B38" s="97" t="s">
        <v>62</v>
      </c>
      <c r="C38" s="97" t="s">
        <v>82</v>
      </c>
      <c r="D38" s="98" t="s">
        <v>161</v>
      </c>
      <c r="E38" s="99">
        <v>87.76</v>
      </c>
      <c r="F38" s="101">
        <v>2992.78</v>
      </c>
      <c r="G38" s="101">
        <v>43.93</v>
      </c>
      <c r="H38" s="100">
        <v>108.83</v>
      </c>
      <c r="I38" s="100">
        <v>277.89</v>
      </c>
      <c r="J38" s="102">
        <v>7.62</v>
      </c>
    </row>
    <row r="39" spans="1:10" ht="15.6" x14ac:dyDescent="0.3">
      <c r="A39" s="103" t="s">
        <v>160</v>
      </c>
      <c r="B39" s="104" t="s">
        <v>62</v>
      </c>
      <c r="C39" s="104" t="s">
        <v>162</v>
      </c>
      <c r="D39" s="105" t="s">
        <v>163</v>
      </c>
      <c r="E39" s="99">
        <v>104.85</v>
      </c>
      <c r="F39" s="101">
        <v>1021.61</v>
      </c>
      <c r="G39" s="101">
        <v>43.93</v>
      </c>
      <c r="H39" s="100">
        <v>23.85</v>
      </c>
      <c r="I39" s="100">
        <v>332</v>
      </c>
      <c r="J39" s="100">
        <v>26.39</v>
      </c>
    </row>
    <row r="40" spans="1:10" ht="15.6" x14ac:dyDescent="0.3">
      <c r="A40" s="103" t="s">
        <v>160</v>
      </c>
      <c r="B40" s="104" t="s">
        <v>62</v>
      </c>
      <c r="C40" s="104" t="s">
        <v>164</v>
      </c>
      <c r="D40" s="105" t="s">
        <v>165</v>
      </c>
      <c r="E40" s="99">
        <v>104.85</v>
      </c>
      <c r="F40" s="101">
        <v>391.16</v>
      </c>
      <c r="G40" s="101">
        <v>43.93</v>
      </c>
      <c r="H40" s="100">
        <v>34.520000000000003</v>
      </c>
      <c r="I40" s="100">
        <v>332</v>
      </c>
      <c r="J40" s="100">
        <v>29.68</v>
      </c>
    </row>
    <row r="41" spans="1:10" ht="15.6" x14ac:dyDescent="0.3">
      <c r="A41" s="103" t="s">
        <v>160</v>
      </c>
      <c r="B41" s="104" t="s">
        <v>62</v>
      </c>
      <c r="C41" s="104" t="s">
        <v>69</v>
      </c>
      <c r="D41" s="105" t="s">
        <v>166</v>
      </c>
      <c r="E41" s="99">
        <v>104.85</v>
      </c>
      <c r="F41" s="101">
        <v>147.43</v>
      </c>
      <c r="G41" s="101">
        <v>42.7</v>
      </c>
      <c r="H41" s="100">
        <v>24.29</v>
      </c>
      <c r="I41" s="100">
        <v>332</v>
      </c>
      <c r="J41" s="102">
        <v>5.85</v>
      </c>
    </row>
    <row r="42" spans="1:10" ht="15.6" x14ac:dyDescent="0.3">
      <c r="A42" s="103" t="s">
        <v>160</v>
      </c>
      <c r="B42" s="104" t="s">
        <v>62</v>
      </c>
      <c r="C42" s="104" t="s">
        <v>71</v>
      </c>
      <c r="D42" s="105" t="s">
        <v>167</v>
      </c>
      <c r="E42" s="99">
        <v>104.85</v>
      </c>
      <c r="F42" s="101">
        <v>72.819999999999993</v>
      </c>
      <c r="G42" s="101">
        <v>42.7</v>
      </c>
      <c r="H42" s="100">
        <v>16.79</v>
      </c>
      <c r="I42" s="100">
        <v>332</v>
      </c>
      <c r="J42" s="102">
        <v>3.9</v>
      </c>
    </row>
    <row r="43" spans="1:10" ht="15.6" x14ac:dyDescent="0.3">
      <c r="A43" s="103" t="s">
        <v>160</v>
      </c>
      <c r="B43" s="104" t="s">
        <v>62</v>
      </c>
      <c r="C43" s="104" t="s">
        <v>73</v>
      </c>
      <c r="D43" s="105" t="s">
        <v>168</v>
      </c>
      <c r="E43" s="99">
        <v>66.8</v>
      </c>
      <c r="F43" s="101">
        <v>39.89</v>
      </c>
      <c r="G43" s="101">
        <v>42.07</v>
      </c>
      <c r="H43" s="100">
        <v>16.79</v>
      </c>
      <c r="I43" s="100">
        <v>211.52</v>
      </c>
      <c r="J43" s="102">
        <v>1.01</v>
      </c>
    </row>
    <row r="44" spans="1:10" ht="15.6" x14ac:dyDescent="0.3">
      <c r="A44" s="103" t="s">
        <v>160</v>
      </c>
      <c r="B44" s="104" t="s">
        <v>62</v>
      </c>
      <c r="C44" s="104" t="s">
        <v>75</v>
      </c>
      <c r="D44" s="105" t="s">
        <v>169</v>
      </c>
      <c r="E44" s="99">
        <v>66.8</v>
      </c>
      <c r="F44" s="101">
        <v>21.28</v>
      </c>
      <c r="G44" s="101">
        <v>41.82</v>
      </c>
      <c r="H44" s="100">
        <v>16.79</v>
      </c>
      <c r="I44" s="100">
        <v>211.52</v>
      </c>
      <c r="J44" s="102">
        <v>0.99</v>
      </c>
    </row>
    <row r="45" spans="1:10" ht="15.6" x14ac:dyDescent="0.3">
      <c r="A45" s="103" t="s">
        <v>160</v>
      </c>
      <c r="B45" s="104" t="s">
        <v>62</v>
      </c>
      <c r="C45" s="104" t="s">
        <v>77</v>
      </c>
      <c r="D45" s="105" t="s">
        <v>170</v>
      </c>
      <c r="E45" s="99">
        <v>66.8</v>
      </c>
      <c r="F45" s="101">
        <v>21.28</v>
      </c>
      <c r="G45" s="101">
        <v>41.82</v>
      </c>
      <c r="H45" s="100">
        <v>16.79</v>
      </c>
      <c r="I45" s="100">
        <v>211.52</v>
      </c>
      <c r="J45" s="102">
        <v>0.99</v>
      </c>
    </row>
    <row r="46" spans="1:10" ht="15.6" x14ac:dyDescent="0.3">
      <c r="A46" s="103" t="s">
        <v>160</v>
      </c>
      <c r="B46" s="104" t="s">
        <v>62</v>
      </c>
      <c r="C46" s="104" t="s">
        <v>79</v>
      </c>
      <c r="D46" s="105" t="s">
        <v>171</v>
      </c>
      <c r="E46" s="99">
        <v>66.8</v>
      </c>
      <c r="F46" s="101">
        <v>21.28</v>
      </c>
      <c r="G46" s="101">
        <v>41.82</v>
      </c>
      <c r="H46" s="100">
        <v>16.79</v>
      </c>
      <c r="I46" s="100">
        <v>211.52</v>
      </c>
      <c r="J46" s="102">
        <v>0.99</v>
      </c>
    </row>
    <row r="47" spans="1:10" ht="15.6" x14ac:dyDescent="0.3">
      <c r="A47" s="103" t="s">
        <v>160</v>
      </c>
      <c r="B47" s="104" t="s">
        <v>81</v>
      </c>
      <c r="C47" s="104" t="s">
        <v>82</v>
      </c>
      <c r="D47" s="105" t="s">
        <v>161</v>
      </c>
      <c r="E47" s="99">
        <v>91.6</v>
      </c>
      <c r="F47" s="101">
        <v>1890.63</v>
      </c>
      <c r="G47" s="101">
        <v>355.62</v>
      </c>
      <c r="H47" s="100">
        <v>16.41</v>
      </c>
      <c r="I47" s="100">
        <v>271.16000000000003</v>
      </c>
      <c r="J47" s="102">
        <v>0</v>
      </c>
    </row>
    <row r="48" spans="1:10" ht="15.6" x14ac:dyDescent="0.3">
      <c r="A48" s="103" t="s">
        <v>160</v>
      </c>
      <c r="B48" s="104" t="s">
        <v>81</v>
      </c>
      <c r="C48" s="104" t="s">
        <v>162</v>
      </c>
      <c r="D48" s="105" t="s">
        <v>163</v>
      </c>
      <c r="E48" s="99">
        <v>82.23</v>
      </c>
      <c r="F48" s="101">
        <v>1281.97</v>
      </c>
      <c r="G48" s="101">
        <v>145.41999999999999</v>
      </c>
      <c r="H48" s="100">
        <v>10.47</v>
      </c>
      <c r="I48" s="100">
        <v>243.43</v>
      </c>
      <c r="J48" s="102">
        <v>3.02</v>
      </c>
    </row>
    <row r="49" spans="1:10" ht="15.6" x14ac:dyDescent="0.3">
      <c r="A49" s="103" t="s">
        <v>160</v>
      </c>
      <c r="B49" s="104" t="s">
        <v>81</v>
      </c>
      <c r="C49" s="104" t="s">
        <v>164</v>
      </c>
      <c r="D49" s="105" t="s">
        <v>165</v>
      </c>
      <c r="E49" s="99">
        <v>82.23</v>
      </c>
      <c r="F49" s="101">
        <v>1746.42</v>
      </c>
      <c r="G49" s="101">
        <v>145.41999999999999</v>
      </c>
      <c r="H49" s="102">
        <v>4.16</v>
      </c>
      <c r="I49" s="100">
        <v>243.43</v>
      </c>
      <c r="J49" s="102">
        <v>5.14</v>
      </c>
    </row>
    <row r="50" spans="1:10" ht="15.6" x14ac:dyDescent="0.3">
      <c r="A50" s="103" t="s">
        <v>160</v>
      </c>
      <c r="B50" s="104" t="s">
        <v>81</v>
      </c>
      <c r="C50" s="104" t="s">
        <v>69</v>
      </c>
      <c r="D50" s="105" t="s">
        <v>166</v>
      </c>
      <c r="E50" s="99">
        <v>82.23</v>
      </c>
      <c r="F50" s="101">
        <v>1275.0999999999999</v>
      </c>
      <c r="G50" s="101">
        <v>114.91</v>
      </c>
      <c r="H50" s="102">
        <v>3</v>
      </c>
      <c r="I50" s="100">
        <v>243.43</v>
      </c>
      <c r="J50" s="102">
        <v>7.45</v>
      </c>
    </row>
    <row r="51" spans="1:10" ht="15.6" x14ac:dyDescent="0.3">
      <c r="A51" s="103" t="s">
        <v>160</v>
      </c>
      <c r="B51" s="104" t="s">
        <v>81</v>
      </c>
      <c r="C51" s="104" t="s">
        <v>71</v>
      </c>
      <c r="D51" s="105" t="s">
        <v>167</v>
      </c>
      <c r="E51" s="99">
        <v>82.23</v>
      </c>
      <c r="F51" s="101">
        <v>885.86</v>
      </c>
      <c r="G51" s="101">
        <v>85.37</v>
      </c>
      <c r="H51" s="102">
        <v>1.1000000000000001</v>
      </c>
      <c r="I51" s="100">
        <v>243.43</v>
      </c>
      <c r="J51" s="102">
        <v>7.45</v>
      </c>
    </row>
    <row r="52" spans="1:10" ht="15.6" x14ac:dyDescent="0.3">
      <c r="A52" s="103" t="s">
        <v>160</v>
      </c>
      <c r="B52" s="104" t="s">
        <v>81</v>
      </c>
      <c r="C52" s="104" t="s">
        <v>73</v>
      </c>
      <c r="D52" s="105" t="s">
        <v>168</v>
      </c>
      <c r="E52" s="99">
        <v>78.930000000000007</v>
      </c>
      <c r="F52" s="101">
        <v>1509.82</v>
      </c>
      <c r="G52" s="101">
        <v>43.5</v>
      </c>
      <c r="H52" s="102">
        <v>0.01</v>
      </c>
      <c r="I52" s="100">
        <v>233.66</v>
      </c>
      <c r="J52" s="102">
        <v>7.46</v>
      </c>
    </row>
    <row r="53" spans="1:10" ht="15.6" x14ac:dyDescent="0.3">
      <c r="A53" s="103" t="s">
        <v>160</v>
      </c>
      <c r="B53" s="104" t="s">
        <v>81</v>
      </c>
      <c r="C53" s="104" t="s">
        <v>75</v>
      </c>
      <c r="D53" s="105" t="s">
        <v>169</v>
      </c>
      <c r="E53" s="99">
        <v>78.930000000000007</v>
      </c>
      <c r="F53" s="101">
        <v>1167.53</v>
      </c>
      <c r="G53" s="101">
        <v>43.5</v>
      </c>
      <c r="H53" s="102">
        <v>0.01</v>
      </c>
      <c r="I53" s="100">
        <v>233.66</v>
      </c>
      <c r="J53" s="102">
        <v>6.34</v>
      </c>
    </row>
    <row r="54" spans="1:10" ht="15.6" x14ac:dyDescent="0.3">
      <c r="A54" s="103" t="s">
        <v>160</v>
      </c>
      <c r="B54" s="104" t="s">
        <v>81</v>
      </c>
      <c r="C54" s="104" t="s">
        <v>77</v>
      </c>
      <c r="D54" s="105" t="s">
        <v>172</v>
      </c>
      <c r="E54" s="99">
        <v>78.930000000000007</v>
      </c>
      <c r="F54" s="101">
        <v>515.59</v>
      </c>
      <c r="G54" s="101">
        <v>43.5</v>
      </c>
      <c r="H54" s="102">
        <v>0.01</v>
      </c>
      <c r="I54" s="100">
        <v>233.66</v>
      </c>
      <c r="J54" s="102">
        <v>6.34</v>
      </c>
    </row>
    <row r="55" spans="1:10" ht="15.6" x14ac:dyDescent="0.3">
      <c r="A55" s="103" t="s">
        <v>160</v>
      </c>
      <c r="B55" s="104" t="s">
        <v>81</v>
      </c>
      <c r="C55" s="104" t="s">
        <v>85</v>
      </c>
      <c r="D55" s="105" t="s">
        <v>171</v>
      </c>
      <c r="E55" s="99">
        <v>78.930000000000007</v>
      </c>
      <c r="F55" s="101">
        <v>141.66</v>
      </c>
      <c r="G55" s="101">
        <v>43.5</v>
      </c>
      <c r="H55" s="102">
        <v>0.01</v>
      </c>
      <c r="I55" s="100">
        <v>233.66</v>
      </c>
      <c r="J55" s="102">
        <v>6.34</v>
      </c>
    </row>
    <row r="56" spans="1:10" ht="15.6" x14ac:dyDescent="0.3">
      <c r="A56" s="103" t="s">
        <v>160</v>
      </c>
      <c r="B56" s="104" t="s">
        <v>86</v>
      </c>
      <c r="C56" s="104" t="s">
        <v>82</v>
      </c>
      <c r="D56" s="105" t="s">
        <v>161</v>
      </c>
      <c r="E56" s="99">
        <v>60.38</v>
      </c>
      <c r="F56" s="101">
        <v>2465.5100000000002</v>
      </c>
      <c r="G56" s="101">
        <v>43.3</v>
      </c>
      <c r="H56" s="100">
        <v>46.23</v>
      </c>
      <c r="I56" s="100">
        <v>181.23</v>
      </c>
      <c r="J56" s="100">
        <v>0</v>
      </c>
    </row>
    <row r="57" spans="1:10" ht="15.6" x14ac:dyDescent="0.3">
      <c r="A57" s="103" t="s">
        <v>160</v>
      </c>
      <c r="B57" s="104" t="s">
        <v>86</v>
      </c>
      <c r="C57" s="104" t="s">
        <v>162</v>
      </c>
      <c r="D57" s="105" t="s">
        <v>163</v>
      </c>
      <c r="E57" s="99">
        <v>64.34</v>
      </c>
      <c r="F57" s="101">
        <v>443.48</v>
      </c>
      <c r="G57" s="101">
        <v>42.99</v>
      </c>
      <c r="H57" s="100">
        <v>46.21</v>
      </c>
      <c r="I57" s="100">
        <v>193.14</v>
      </c>
      <c r="J57" s="100">
        <v>18.75</v>
      </c>
    </row>
    <row r="58" spans="1:10" ht="15.6" x14ac:dyDescent="0.3">
      <c r="A58" s="103" t="s">
        <v>160</v>
      </c>
      <c r="B58" s="104" t="s">
        <v>86</v>
      </c>
      <c r="C58" s="104" t="s">
        <v>164</v>
      </c>
      <c r="D58" s="105" t="s">
        <v>165</v>
      </c>
      <c r="E58" s="99">
        <v>64.34</v>
      </c>
      <c r="F58" s="101">
        <v>201.03</v>
      </c>
      <c r="G58" s="101">
        <v>42.99</v>
      </c>
      <c r="H58" s="100">
        <v>11.09</v>
      </c>
      <c r="I58" s="100">
        <v>193.14</v>
      </c>
      <c r="J58" s="102">
        <v>8.49</v>
      </c>
    </row>
    <row r="59" spans="1:10" ht="15.6" x14ac:dyDescent="0.3">
      <c r="A59" s="103" t="s">
        <v>160</v>
      </c>
      <c r="B59" s="104" t="s">
        <v>86</v>
      </c>
      <c r="C59" s="104" t="s">
        <v>69</v>
      </c>
      <c r="D59" s="105" t="s">
        <v>166</v>
      </c>
      <c r="E59" s="99">
        <v>64.34</v>
      </c>
      <c r="F59" s="101">
        <v>108.63</v>
      </c>
      <c r="G59" s="101">
        <v>41.78</v>
      </c>
      <c r="H59" s="102">
        <v>2.81</v>
      </c>
      <c r="I59" s="100">
        <v>193.14</v>
      </c>
      <c r="J59" s="102">
        <v>3.74</v>
      </c>
    </row>
    <row r="60" spans="1:10" ht="15.6" x14ac:dyDescent="0.3">
      <c r="A60" s="103" t="s">
        <v>160</v>
      </c>
      <c r="B60" s="104" t="s">
        <v>86</v>
      </c>
      <c r="C60" s="104" t="s">
        <v>71</v>
      </c>
      <c r="D60" s="105" t="s">
        <v>167</v>
      </c>
      <c r="E60" s="99">
        <v>64.34</v>
      </c>
      <c r="F60" s="101">
        <v>62.37</v>
      </c>
      <c r="G60" s="101">
        <v>41.78</v>
      </c>
      <c r="H60" s="102">
        <v>1.81</v>
      </c>
      <c r="I60" s="100">
        <v>193.14</v>
      </c>
      <c r="J60" s="102">
        <v>3.74</v>
      </c>
    </row>
    <row r="61" spans="1:10" ht="15.6" x14ac:dyDescent="0.3">
      <c r="A61" s="103" t="s">
        <v>160</v>
      </c>
      <c r="B61" s="104" t="s">
        <v>86</v>
      </c>
      <c r="C61" s="104" t="s">
        <v>73</v>
      </c>
      <c r="D61" s="105" t="s">
        <v>168</v>
      </c>
      <c r="E61" s="99">
        <v>64.34</v>
      </c>
      <c r="F61" s="101">
        <v>51.95</v>
      </c>
      <c r="G61" s="101">
        <v>42</v>
      </c>
      <c r="H61" s="102">
        <v>1.81</v>
      </c>
      <c r="I61" s="100">
        <v>193.14</v>
      </c>
      <c r="J61" s="102">
        <v>0.96</v>
      </c>
    </row>
    <row r="62" spans="1:10" ht="15.6" x14ac:dyDescent="0.3">
      <c r="A62" s="103" t="s">
        <v>160</v>
      </c>
      <c r="B62" s="104" t="s">
        <v>86</v>
      </c>
      <c r="C62" s="104" t="s">
        <v>75</v>
      </c>
      <c r="D62" s="105" t="s">
        <v>173</v>
      </c>
      <c r="E62" s="99">
        <v>67.27</v>
      </c>
      <c r="F62" s="101">
        <v>24.59</v>
      </c>
      <c r="G62" s="101">
        <v>42.02</v>
      </c>
      <c r="H62" s="102">
        <v>0.46</v>
      </c>
      <c r="I62" s="100">
        <v>201.92</v>
      </c>
      <c r="J62" s="102">
        <v>0.93</v>
      </c>
    </row>
    <row r="63" spans="1:10" ht="15.6" x14ac:dyDescent="0.3">
      <c r="A63" s="103" t="s">
        <v>160</v>
      </c>
      <c r="B63" s="104" t="s">
        <v>95</v>
      </c>
      <c r="C63" s="104" t="s">
        <v>82</v>
      </c>
      <c r="D63" s="105" t="s">
        <v>161</v>
      </c>
      <c r="E63" s="99">
        <v>65.27</v>
      </c>
      <c r="F63" s="101">
        <v>2468.6999999999998</v>
      </c>
      <c r="G63" s="101">
        <v>43.36</v>
      </c>
      <c r="H63" s="100">
        <v>54.5</v>
      </c>
      <c r="I63" s="100">
        <v>180.18</v>
      </c>
      <c r="J63" s="102">
        <v>7.58</v>
      </c>
    </row>
    <row r="64" spans="1:10" ht="15.6" x14ac:dyDescent="0.3">
      <c r="A64" s="103" t="s">
        <v>160</v>
      </c>
      <c r="B64" s="104" t="s">
        <v>95</v>
      </c>
      <c r="C64" s="104" t="s">
        <v>162</v>
      </c>
      <c r="D64" s="105" t="s">
        <v>163</v>
      </c>
      <c r="E64" s="99">
        <v>66.790000000000006</v>
      </c>
      <c r="F64" s="101">
        <v>442.8</v>
      </c>
      <c r="G64" s="101">
        <v>43.36</v>
      </c>
      <c r="H64" s="100">
        <v>60.71</v>
      </c>
      <c r="I64" s="100">
        <v>184.39</v>
      </c>
      <c r="J64" s="100">
        <v>12.47</v>
      </c>
    </row>
    <row r="65" spans="1:10" ht="15.6" x14ac:dyDescent="0.3">
      <c r="A65" s="103" t="s">
        <v>160</v>
      </c>
      <c r="B65" s="104" t="s">
        <v>95</v>
      </c>
      <c r="C65" s="104" t="s">
        <v>164</v>
      </c>
      <c r="D65" s="105" t="s">
        <v>165</v>
      </c>
      <c r="E65" s="99">
        <v>66.790000000000006</v>
      </c>
      <c r="F65" s="101">
        <v>200.98</v>
      </c>
      <c r="G65" s="101">
        <v>43.36</v>
      </c>
      <c r="H65" s="100">
        <v>26.3</v>
      </c>
      <c r="I65" s="100">
        <v>184.39</v>
      </c>
      <c r="J65" s="102">
        <v>6.44</v>
      </c>
    </row>
    <row r="66" spans="1:10" ht="15.6" x14ac:dyDescent="0.3">
      <c r="A66" s="103" t="s">
        <v>160</v>
      </c>
      <c r="B66" s="104" t="s">
        <v>95</v>
      </c>
      <c r="C66" s="104" t="s">
        <v>69</v>
      </c>
      <c r="D66" s="105" t="s">
        <v>166</v>
      </c>
      <c r="E66" s="99">
        <v>66.790000000000006</v>
      </c>
      <c r="F66" s="101">
        <v>108.57</v>
      </c>
      <c r="G66" s="101">
        <v>42.14</v>
      </c>
      <c r="H66" s="100">
        <v>18.16</v>
      </c>
      <c r="I66" s="100">
        <v>184.39</v>
      </c>
      <c r="J66" s="102">
        <v>2.42</v>
      </c>
    </row>
    <row r="67" spans="1:10" ht="15.6" x14ac:dyDescent="0.3">
      <c r="A67" s="103" t="s">
        <v>160</v>
      </c>
      <c r="B67" s="104" t="s">
        <v>95</v>
      </c>
      <c r="C67" s="104" t="s">
        <v>71</v>
      </c>
      <c r="D67" s="105" t="s">
        <v>167</v>
      </c>
      <c r="E67" s="99">
        <v>66.790000000000006</v>
      </c>
      <c r="F67" s="101">
        <v>62.65</v>
      </c>
      <c r="G67" s="101">
        <v>42.14</v>
      </c>
      <c r="H67" s="100">
        <v>55.16</v>
      </c>
      <c r="I67" s="100">
        <v>184.39</v>
      </c>
      <c r="J67" s="102">
        <v>1.72</v>
      </c>
    </row>
    <row r="68" spans="1:10" ht="15.6" x14ac:dyDescent="0.3">
      <c r="A68" s="103" t="s">
        <v>160</v>
      </c>
      <c r="B68" s="104" t="s">
        <v>95</v>
      </c>
      <c r="C68" s="104" t="s">
        <v>73</v>
      </c>
      <c r="D68" s="105" t="s">
        <v>168</v>
      </c>
      <c r="E68" s="99">
        <v>66.790000000000006</v>
      </c>
      <c r="F68" s="101">
        <v>52.18</v>
      </c>
      <c r="G68" s="101">
        <v>42.36</v>
      </c>
      <c r="H68" s="100">
        <v>55.16</v>
      </c>
      <c r="I68" s="100">
        <v>184.39</v>
      </c>
      <c r="J68" s="102">
        <v>1.01</v>
      </c>
    </row>
    <row r="69" spans="1:10" ht="15.6" x14ac:dyDescent="0.3">
      <c r="A69" s="103" t="s">
        <v>160</v>
      </c>
      <c r="B69" s="104" t="s">
        <v>95</v>
      </c>
      <c r="C69" s="104" t="s">
        <v>75</v>
      </c>
      <c r="D69" s="105" t="s">
        <v>173</v>
      </c>
      <c r="E69" s="99">
        <v>66.790000000000006</v>
      </c>
      <c r="F69" s="101">
        <v>43.91</v>
      </c>
      <c r="G69" s="101">
        <v>42.36</v>
      </c>
      <c r="H69" s="100">
        <v>202.45</v>
      </c>
      <c r="I69" s="100">
        <v>184.39</v>
      </c>
      <c r="J69" s="102">
        <v>0.99</v>
      </c>
    </row>
    <row r="70" spans="1:10" ht="15.6" x14ac:dyDescent="0.3">
      <c r="A70" s="96" t="s">
        <v>174</v>
      </c>
      <c r="B70" s="97" t="s">
        <v>62</v>
      </c>
      <c r="C70" s="97" t="s">
        <v>175</v>
      </c>
      <c r="D70" s="98" t="s">
        <v>176</v>
      </c>
      <c r="E70" s="106">
        <v>154.1</v>
      </c>
      <c r="F70" s="114">
        <v>4652.8599999999997</v>
      </c>
      <c r="G70" s="114">
        <v>81.709999999999994</v>
      </c>
      <c r="H70" s="107">
        <v>85.39</v>
      </c>
      <c r="I70" s="107">
        <v>487.96</v>
      </c>
      <c r="J70" s="108">
        <v>6</v>
      </c>
    </row>
    <row r="71" spans="1:10" ht="15.6" x14ac:dyDescent="0.3">
      <c r="A71" s="103" t="s">
        <v>174</v>
      </c>
      <c r="B71" s="104" t="s">
        <v>81</v>
      </c>
      <c r="C71" s="104" t="s">
        <v>177</v>
      </c>
      <c r="D71" s="105" t="s">
        <v>176</v>
      </c>
      <c r="E71" s="99">
        <v>194.27</v>
      </c>
      <c r="F71" s="101">
        <v>8263.69</v>
      </c>
      <c r="G71" s="101">
        <v>379.15</v>
      </c>
      <c r="H71" s="100">
        <v>48.78</v>
      </c>
      <c r="I71" s="100">
        <v>575.09</v>
      </c>
      <c r="J71" s="100">
        <v>30</v>
      </c>
    </row>
    <row r="72" spans="1:10" ht="15.6" x14ac:dyDescent="0.3">
      <c r="A72" s="103" t="s">
        <v>174</v>
      </c>
      <c r="B72" s="104" t="s">
        <v>81</v>
      </c>
      <c r="C72" s="104" t="s">
        <v>178</v>
      </c>
      <c r="D72" s="105" t="s">
        <v>179</v>
      </c>
      <c r="E72" s="99">
        <v>181.51</v>
      </c>
      <c r="F72" s="101">
        <v>5807.89</v>
      </c>
      <c r="G72" s="101">
        <v>289.06</v>
      </c>
      <c r="H72" s="100">
        <v>54.06</v>
      </c>
      <c r="I72" s="100">
        <v>537.33000000000004</v>
      </c>
      <c r="J72" s="102">
        <v>6.57</v>
      </c>
    </row>
    <row r="73" spans="1:10" ht="15.6" x14ac:dyDescent="0.3">
      <c r="A73" s="103" t="s">
        <v>174</v>
      </c>
      <c r="B73" s="104" t="s">
        <v>81</v>
      </c>
      <c r="C73" s="104" t="s">
        <v>180</v>
      </c>
      <c r="D73" s="109" t="s">
        <v>181</v>
      </c>
      <c r="E73" s="99">
        <v>197.1</v>
      </c>
      <c r="F73" s="101">
        <v>6896.5</v>
      </c>
      <c r="G73" s="101">
        <v>228.71</v>
      </c>
      <c r="H73" s="100">
        <v>53.56</v>
      </c>
      <c r="I73" s="100">
        <v>583.49</v>
      </c>
      <c r="J73" s="102">
        <v>7.11</v>
      </c>
    </row>
    <row r="74" spans="1:10" ht="15.6" x14ac:dyDescent="0.3">
      <c r="A74" s="103" t="s">
        <v>174</v>
      </c>
      <c r="B74" s="104" t="s">
        <v>81</v>
      </c>
      <c r="C74" s="104" t="s">
        <v>182</v>
      </c>
      <c r="D74" s="105" t="s">
        <v>183</v>
      </c>
      <c r="E74" s="99">
        <v>217.88</v>
      </c>
      <c r="F74" s="101">
        <v>5891.93</v>
      </c>
      <c r="G74" s="101">
        <v>215.04</v>
      </c>
      <c r="H74" s="100">
        <v>56.5</v>
      </c>
      <c r="I74" s="100">
        <v>644.98</v>
      </c>
      <c r="J74" s="102">
        <v>5</v>
      </c>
    </row>
    <row r="75" spans="1:10" ht="15.6" x14ac:dyDescent="0.3">
      <c r="A75" s="103" t="s">
        <v>174</v>
      </c>
      <c r="B75" s="104" t="s">
        <v>81</v>
      </c>
      <c r="C75" s="104" t="s">
        <v>184</v>
      </c>
      <c r="D75" s="105" t="s">
        <v>185</v>
      </c>
      <c r="E75" s="99">
        <v>195.45</v>
      </c>
      <c r="F75" s="101">
        <v>3773.28</v>
      </c>
      <c r="G75" s="101">
        <v>117.67</v>
      </c>
      <c r="H75" s="102">
        <v>3.39</v>
      </c>
      <c r="I75" s="100">
        <v>578.59</v>
      </c>
      <c r="J75" s="100">
        <v>12.43</v>
      </c>
    </row>
    <row r="76" spans="1:10" ht="15.6" x14ac:dyDescent="0.3">
      <c r="A76" s="103" t="s">
        <v>174</v>
      </c>
      <c r="B76" s="104" t="s">
        <v>81</v>
      </c>
      <c r="C76" s="104" t="s">
        <v>186</v>
      </c>
      <c r="D76" s="105" t="s">
        <v>187</v>
      </c>
      <c r="E76" s="99">
        <v>226.96</v>
      </c>
      <c r="F76" s="101">
        <v>2786.17</v>
      </c>
      <c r="G76" s="101">
        <v>125.75</v>
      </c>
      <c r="H76" s="102">
        <v>4.04</v>
      </c>
      <c r="I76" s="100">
        <v>671.86</v>
      </c>
      <c r="J76" s="100">
        <v>43.67</v>
      </c>
    </row>
    <row r="77" spans="1:10" ht="15.6" x14ac:dyDescent="0.3">
      <c r="A77" s="103" t="s">
        <v>174</v>
      </c>
      <c r="B77" s="104" t="s">
        <v>81</v>
      </c>
      <c r="C77" s="104" t="s">
        <v>188</v>
      </c>
      <c r="D77" s="105" t="s">
        <v>189</v>
      </c>
      <c r="E77" s="99">
        <v>246.34</v>
      </c>
      <c r="F77" s="101">
        <v>222.97</v>
      </c>
      <c r="G77" s="101">
        <v>103.3</v>
      </c>
      <c r="H77" s="102">
        <v>4.29</v>
      </c>
      <c r="I77" s="100">
        <v>729.24</v>
      </c>
      <c r="J77" s="100">
        <v>43.75</v>
      </c>
    </row>
    <row r="78" spans="1:10" ht="15.6" x14ac:dyDescent="0.3">
      <c r="A78" s="103" t="s">
        <v>193</v>
      </c>
      <c r="B78" s="104" t="s">
        <v>81</v>
      </c>
      <c r="C78" s="104" t="s">
        <v>177</v>
      </c>
      <c r="D78" s="105" t="s">
        <v>176</v>
      </c>
      <c r="E78" s="99">
        <v>281.18</v>
      </c>
      <c r="F78" s="101">
        <v>10626.12</v>
      </c>
      <c r="G78" s="101">
        <v>502.65</v>
      </c>
      <c r="H78" s="100">
        <v>93.92</v>
      </c>
      <c r="I78" s="100">
        <v>832.37</v>
      </c>
      <c r="J78" s="100">
        <v>30</v>
      </c>
    </row>
    <row r="79" spans="1:10" ht="15.6" x14ac:dyDescent="0.3">
      <c r="A79" s="103" t="s">
        <v>193</v>
      </c>
      <c r="B79" s="104" t="s">
        <v>81</v>
      </c>
      <c r="C79" s="104" t="s">
        <v>178</v>
      </c>
      <c r="D79" s="105" t="s">
        <v>179</v>
      </c>
      <c r="E79" s="99">
        <v>258.33</v>
      </c>
      <c r="F79" s="101">
        <v>8189.82</v>
      </c>
      <c r="G79" s="101">
        <v>420.34</v>
      </c>
      <c r="H79" s="100">
        <v>93.98</v>
      </c>
      <c r="I79" s="100">
        <v>764.73</v>
      </c>
      <c r="J79" s="102">
        <v>8.7200000000000006</v>
      </c>
    </row>
    <row r="80" spans="1:10" ht="15.6" x14ac:dyDescent="0.3">
      <c r="A80" s="103" t="s">
        <v>193</v>
      </c>
      <c r="B80" s="104" t="s">
        <v>81</v>
      </c>
      <c r="C80" s="104" t="s">
        <v>180</v>
      </c>
      <c r="D80" s="109" t="s">
        <v>181</v>
      </c>
      <c r="E80" s="99">
        <v>257.29000000000002</v>
      </c>
      <c r="F80" s="101">
        <v>9294.52</v>
      </c>
      <c r="G80" s="101">
        <v>254.54</v>
      </c>
      <c r="H80" s="100">
        <v>61.16</v>
      </c>
      <c r="I80" s="100">
        <v>761.65</v>
      </c>
      <c r="J80" s="102">
        <v>8.41</v>
      </c>
    </row>
    <row r="81" spans="1:10" ht="15.6" x14ac:dyDescent="0.3">
      <c r="A81" s="103" t="s">
        <v>193</v>
      </c>
      <c r="B81" s="104" t="s">
        <v>81</v>
      </c>
      <c r="C81" s="104" t="s">
        <v>182</v>
      </c>
      <c r="D81" s="105" t="s">
        <v>183</v>
      </c>
      <c r="E81" s="99">
        <v>285.06</v>
      </c>
      <c r="F81" s="101">
        <v>8178.14</v>
      </c>
      <c r="G81" s="101">
        <v>281.98</v>
      </c>
      <c r="H81" s="100">
        <v>62.27</v>
      </c>
      <c r="I81" s="100">
        <v>843.87</v>
      </c>
      <c r="J81" s="102">
        <v>4.9400000000000004</v>
      </c>
    </row>
    <row r="82" spans="1:10" ht="15.6" x14ac:dyDescent="0.3">
      <c r="A82" s="103" t="s">
        <v>193</v>
      </c>
      <c r="B82" s="104" t="s">
        <v>81</v>
      </c>
      <c r="C82" s="104" t="s">
        <v>184</v>
      </c>
      <c r="D82" s="105" t="s">
        <v>185</v>
      </c>
      <c r="E82" s="99">
        <v>278.94</v>
      </c>
      <c r="F82" s="101">
        <v>5605.95</v>
      </c>
      <c r="G82" s="101">
        <v>142.49</v>
      </c>
      <c r="H82" s="102">
        <v>3.16</v>
      </c>
      <c r="I82" s="100">
        <v>825.75</v>
      </c>
      <c r="J82" s="100">
        <v>12.59</v>
      </c>
    </row>
    <row r="83" spans="1:10" ht="15.6" x14ac:dyDescent="0.3">
      <c r="A83" s="103" t="s">
        <v>193</v>
      </c>
      <c r="B83" s="104" t="s">
        <v>81</v>
      </c>
      <c r="C83" s="104" t="s">
        <v>186</v>
      </c>
      <c r="D83" s="105" t="s">
        <v>187</v>
      </c>
      <c r="E83" s="99">
        <v>276.26</v>
      </c>
      <c r="F83" s="101">
        <v>6194.67</v>
      </c>
      <c r="G83" s="101">
        <v>157.25</v>
      </c>
      <c r="H83" s="102">
        <v>3.15</v>
      </c>
      <c r="I83" s="100">
        <v>817.82</v>
      </c>
      <c r="J83" s="100">
        <v>35.700000000000003</v>
      </c>
    </row>
    <row r="84" spans="1:10" ht="15.6" x14ac:dyDescent="0.3">
      <c r="A84" s="103" t="s">
        <v>193</v>
      </c>
      <c r="B84" s="104" t="s">
        <v>81</v>
      </c>
      <c r="C84" s="104" t="s">
        <v>188</v>
      </c>
      <c r="D84" s="105" t="s">
        <v>189</v>
      </c>
      <c r="E84" s="99">
        <v>283.42</v>
      </c>
      <c r="F84" s="101">
        <v>662.68</v>
      </c>
      <c r="G84" s="101">
        <v>102.91</v>
      </c>
      <c r="H84" s="102">
        <v>3.14</v>
      </c>
      <c r="I84" s="100">
        <v>839.03</v>
      </c>
      <c r="J84" s="100">
        <v>36.39</v>
      </c>
    </row>
    <row r="85" spans="1:10" ht="15.6" x14ac:dyDescent="0.3">
      <c r="A85" s="103" t="s">
        <v>193</v>
      </c>
      <c r="B85" s="104" t="s">
        <v>95</v>
      </c>
      <c r="C85" s="104" t="s">
        <v>194</v>
      </c>
      <c r="D85" s="105" t="s">
        <v>195</v>
      </c>
      <c r="E85" s="99">
        <v>360.21</v>
      </c>
      <c r="F85" s="101">
        <v>3512.69</v>
      </c>
      <c r="G85" s="101">
        <v>119.93</v>
      </c>
      <c r="H85" s="100">
        <v>980</v>
      </c>
      <c r="I85" s="100">
        <v>994.4</v>
      </c>
      <c r="J85" s="100">
        <v>101</v>
      </c>
    </row>
    <row r="86" spans="1:10" ht="15.6" x14ac:dyDescent="0.3">
      <c r="A86" s="96" t="s">
        <v>196</v>
      </c>
      <c r="B86" s="97" t="s">
        <v>62</v>
      </c>
      <c r="C86" s="97" t="s">
        <v>82</v>
      </c>
      <c r="D86" s="98" t="s">
        <v>197</v>
      </c>
      <c r="E86" s="106">
        <v>25</v>
      </c>
      <c r="F86" s="115">
        <v>56</v>
      </c>
      <c r="G86" s="115">
        <v>188.78</v>
      </c>
      <c r="H86" s="115">
        <v>219</v>
      </c>
      <c r="I86" s="115">
        <v>79.16</v>
      </c>
      <c r="J86" s="116">
        <v>1</v>
      </c>
    </row>
    <row r="87" spans="1:10" ht="15.6" x14ac:dyDescent="0.3">
      <c r="A87" s="103" t="s">
        <v>196</v>
      </c>
      <c r="B87" s="104" t="s">
        <v>62</v>
      </c>
      <c r="C87" s="104" t="s">
        <v>198</v>
      </c>
      <c r="D87" s="105" t="s">
        <v>199</v>
      </c>
      <c r="E87" s="99">
        <v>20</v>
      </c>
      <c r="F87" s="117">
        <v>181.57</v>
      </c>
      <c r="G87" s="117">
        <v>57.59</v>
      </c>
      <c r="H87" s="117">
        <v>43.8</v>
      </c>
      <c r="I87" s="117">
        <v>63.33</v>
      </c>
      <c r="J87" s="118">
        <v>1</v>
      </c>
    </row>
    <row r="88" spans="1:10" ht="15.6" x14ac:dyDescent="0.3">
      <c r="A88" s="103" t="s">
        <v>196</v>
      </c>
      <c r="B88" s="104" t="s">
        <v>62</v>
      </c>
      <c r="C88" s="104" t="s">
        <v>200</v>
      </c>
      <c r="D88" s="105" t="s">
        <v>201</v>
      </c>
      <c r="E88" s="99">
        <v>20</v>
      </c>
      <c r="F88" s="117">
        <v>170</v>
      </c>
      <c r="G88" s="117">
        <v>33.03</v>
      </c>
      <c r="H88" s="117">
        <v>24.09</v>
      </c>
      <c r="I88" s="117">
        <v>63.33</v>
      </c>
      <c r="J88" s="118">
        <v>1</v>
      </c>
    </row>
    <row r="89" spans="1:10" ht="15.6" x14ac:dyDescent="0.3">
      <c r="A89" s="103" t="s">
        <v>196</v>
      </c>
      <c r="B89" s="104" t="s">
        <v>62</v>
      </c>
      <c r="C89" s="104" t="s">
        <v>202</v>
      </c>
      <c r="D89" s="105" t="s">
        <v>203</v>
      </c>
      <c r="E89" s="99">
        <v>16.39</v>
      </c>
      <c r="F89" s="117">
        <v>374.63</v>
      </c>
      <c r="G89" s="117">
        <v>20.04</v>
      </c>
      <c r="H89" s="117">
        <v>19.71</v>
      </c>
      <c r="I89" s="117">
        <v>51.88</v>
      </c>
      <c r="J89" s="118">
        <v>1</v>
      </c>
    </row>
    <row r="90" spans="1:10" ht="15.6" x14ac:dyDescent="0.3">
      <c r="A90" s="103" t="s">
        <v>196</v>
      </c>
      <c r="B90" s="104" t="s">
        <v>62</v>
      </c>
      <c r="C90" s="104" t="s">
        <v>204</v>
      </c>
      <c r="D90" s="105" t="s">
        <v>205</v>
      </c>
      <c r="E90" s="99">
        <v>16.21</v>
      </c>
      <c r="F90" s="117">
        <v>42.51</v>
      </c>
      <c r="G90" s="117">
        <v>14.36</v>
      </c>
      <c r="H90" s="117">
        <v>19.71</v>
      </c>
      <c r="I90" s="117">
        <v>51.34</v>
      </c>
      <c r="J90" s="118">
        <v>1</v>
      </c>
    </row>
    <row r="91" spans="1:10" ht="15.6" x14ac:dyDescent="0.3">
      <c r="A91" s="103" t="s">
        <v>196</v>
      </c>
      <c r="B91" s="104" t="s">
        <v>62</v>
      </c>
      <c r="C91" s="104" t="s">
        <v>206</v>
      </c>
      <c r="D91" s="105" t="s">
        <v>207</v>
      </c>
      <c r="E91" s="99">
        <v>16.21</v>
      </c>
      <c r="F91" s="117">
        <v>42.51</v>
      </c>
      <c r="G91" s="117">
        <v>14.36</v>
      </c>
      <c r="H91" s="117">
        <v>19.71</v>
      </c>
      <c r="I91" s="117">
        <v>51.34</v>
      </c>
      <c r="J91" s="118">
        <v>1</v>
      </c>
    </row>
    <row r="92" spans="1:10" ht="15.6" x14ac:dyDescent="0.3">
      <c r="A92" s="103" t="s">
        <v>208</v>
      </c>
      <c r="B92" s="104" t="s">
        <v>81</v>
      </c>
      <c r="C92" s="104" t="s">
        <v>198</v>
      </c>
      <c r="D92" s="105" t="s">
        <v>199</v>
      </c>
      <c r="E92" s="99">
        <v>32.83</v>
      </c>
      <c r="F92" s="117">
        <v>606.48</v>
      </c>
      <c r="G92" s="117">
        <v>63.94</v>
      </c>
      <c r="H92" s="117">
        <v>11.69</v>
      </c>
      <c r="I92" s="117">
        <v>97.18</v>
      </c>
      <c r="J92" s="118">
        <v>2.17</v>
      </c>
    </row>
    <row r="93" spans="1:10" ht="15.6" x14ac:dyDescent="0.3">
      <c r="A93" s="103" t="s">
        <v>208</v>
      </c>
      <c r="B93" s="104" t="s">
        <v>81</v>
      </c>
      <c r="C93" s="104" t="s">
        <v>200</v>
      </c>
      <c r="D93" s="105" t="s">
        <v>201</v>
      </c>
      <c r="E93" s="99">
        <v>32.83</v>
      </c>
      <c r="F93" s="117">
        <v>606.48</v>
      </c>
      <c r="G93" s="117">
        <v>63.94</v>
      </c>
      <c r="H93" s="118">
        <v>4.3600000000000003</v>
      </c>
      <c r="I93" s="117">
        <v>97.18</v>
      </c>
      <c r="J93" s="118">
        <v>4.43</v>
      </c>
    </row>
    <row r="94" spans="1:10" ht="15.6" x14ac:dyDescent="0.3">
      <c r="A94" s="103" t="s">
        <v>208</v>
      </c>
      <c r="B94" s="104" t="s">
        <v>81</v>
      </c>
      <c r="C94" s="104" t="s">
        <v>202</v>
      </c>
      <c r="D94" s="105" t="s">
        <v>203</v>
      </c>
      <c r="E94" s="99">
        <v>32.83</v>
      </c>
      <c r="F94" s="117">
        <v>609.58000000000004</v>
      </c>
      <c r="G94" s="117">
        <v>63.94</v>
      </c>
      <c r="H94" s="118">
        <v>3</v>
      </c>
      <c r="I94" s="117">
        <v>97.18</v>
      </c>
      <c r="J94" s="118">
        <v>8.85</v>
      </c>
    </row>
    <row r="95" spans="1:10" ht="15.6" x14ac:dyDescent="0.3">
      <c r="A95" s="103" t="s">
        <v>208</v>
      </c>
      <c r="B95" s="104" t="s">
        <v>81</v>
      </c>
      <c r="C95" s="104" t="s">
        <v>204</v>
      </c>
      <c r="D95" s="105" t="s">
        <v>205</v>
      </c>
      <c r="E95" s="99">
        <v>29.54</v>
      </c>
      <c r="F95" s="117">
        <v>524.9</v>
      </c>
      <c r="G95" s="117">
        <v>43</v>
      </c>
      <c r="H95" s="118">
        <v>1.1000000000000001</v>
      </c>
      <c r="I95" s="117">
        <v>87.46</v>
      </c>
      <c r="J95" s="118">
        <v>8.85</v>
      </c>
    </row>
    <row r="96" spans="1:10" ht="15.6" x14ac:dyDescent="0.3">
      <c r="A96" s="103" t="s">
        <v>208</v>
      </c>
      <c r="B96" s="104" t="s">
        <v>81</v>
      </c>
      <c r="C96" s="104" t="s">
        <v>206</v>
      </c>
      <c r="D96" s="105" t="s">
        <v>207</v>
      </c>
      <c r="E96" s="99">
        <v>29.54</v>
      </c>
      <c r="F96" s="117">
        <v>524.9</v>
      </c>
      <c r="G96" s="117">
        <v>43</v>
      </c>
      <c r="H96" s="118">
        <v>7.0000000000000007E-2</v>
      </c>
      <c r="I96" s="117">
        <v>87.46</v>
      </c>
      <c r="J96" s="118">
        <v>8.85</v>
      </c>
    </row>
    <row r="97" spans="1:10" ht="15.6" x14ac:dyDescent="0.3">
      <c r="A97" s="103" t="s">
        <v>209</v>
      </c>
      <c r="B97" s="104" t="s">
        <v>62</v>
      </c>
      <c r="C97" s="104" t="s">
        <v>82</v>
      </c>
      <c r="D97" s="105" t="s">
        <v>197</v>
      </c>
      <c r="E97" s="99">
        <v>35.450000000000003</v>
      </c>
      <c r="F97" s="117">
        <v>163.44999999999999</v>
      </c>
      <c r="G97" s="117">
        <v>112.5</v>
      </c>
      <c r="H97" s="117">
        <v>177.65</v>
      </c>
      <c r="I97" s="117">
        <v>112.27</v>
      </c>
      <c r="J97" s="118">
        <v>2</v>
      </c>
    </row>
    <row r="98" spans="1:10" ht="15.6" x14ac:dyDescent="0.3">
      <c r="A98" s="103" t="s">
        <v>209</v>
      </c>
      <c r="B98" s="104" t="s">
        <v>62</v>
      </c>
      <c r="C98" s="104" t="s">
        <v>210</v>
      </c>
      <c r="D98" s="105" t="s">
        <v>211</v>
      </c>
      <c r="E98" s="99">
        <v>33.409999999999997</v>
      </c>
      <c r="F98" s="117">
        <v>246.15</v>
      </c>
      <c r="G98" s="117">
        <v>39.89</v>
      </c>
      <c r="H98" s="117">
        <v>131.58000000000001</v>
      </c>
      <c r="I98" s="117">
        <v>105.79</v>
      </c>
      <c r="J98" s="118">
        <v>2</v>
      </c>
    </row>
    <row r="99" spans="1:10" ht="15.6" x14ac:dyDescent="0.3">
      <c r="A99" s="103" t="s">
        <v>209</v>
      </c>
      <c r="B99" s="104" t="s">
        <v>62</v>
      </c>
      <c r="C99" s="104" t="s">
        <v>212</v>
      </c>
      <c r="D99" s="105" t="s">
        <v>213</v>
      </c>
      <c r="E99" s="99">
        <v>33.03</v>
      </c>
      <c r="F99" s="117">
        <v>129.04</v>
      </c>
      <c r="G99" s="117">
        <v>22.43</v>
      </c>
      <c r="H99" s="117">
        <v>106.01</v>
      </c>
      <c r="I99" s="117">
        <v>104.6</v>
      </c>
      <c r="J99" s="118">
        <v>2</v>
      </c>
    </row>
    <row r="100" spans="1:10" ht="15.6" x14ac:dyDescent="0.3">
      <c r="A100" s="103" t="s">
        <v>209</v>
      </c>
      <c r="B100" s="104" t="s">
        <v>62</v>
      </c>
      <c r="C100" s="104" t="s">
        <v>214</v>
      </c>
      <c r="D100" s="105" t="s">
        <v>215</v>
      </c>
      <c r="E100" s="99">
        <v>40.65</v>
      </c>
      <c r="F100" s="117">
        <v>65.239999999999995</v>
      </c>
      <c r="G100" s="117">
        <v>16.989999999999998</v>
      </c>
      <c r="H100" s="117">
        <v>57.5</v>
      </c>
      <c r="I100" s="117">
        <v>128.71</v>
      </c>
      <c r="J100" s="118">
        <v>2</v>
      </c>
    </row>
    <row r="101" spans="1:10" ht="15.6" x14ac:dyDescent="0.3">
      <c r="A101" s="103" t="s">
        <v>209</v>
      </c>
      <c r="B101" s="104" t="s">
        <v>62</v>
      </c>
      <c r="C101" s="104" t="s">
        <v>204</v>
      </c>
      <c r="D101" s="105" t="s">
        <v>216</v>
      </c>
      <c r="E101" s="99">
        <v>34.43</v>
      </c>
      <c r="F101" s="117">
        <v>24.28</v>
      </c>
      <c r="G101" s="117">
        <v>12.87</v>
      </c>
      <c r="H101" s="117">
        <v>57.12</v>
      </c>
      <c r="I101" s="117">
        <v>109.03</v>
      </c>
      <c r="J101" s="118">
        <v>2</v>
      </c>
    </row>
    <row r="102" spans="1:10" ht="15.6" x14ac:dyDescent="0.3">
      <c r="A102" s="119" t="s">
        <v>209</v>
      </c>
      <c r="B102" s="120" t="s">
        <v>62</v>
      </c>
      <c r="C102" s="120" t="s">
        <v>206</v>
      </c>
      <c r="D102" s="121" t="s">
        <v>216</v>
      </c>
      <c r="E102" s="122">
        <v>31.07</v>
      </c>
      <c r="F102" s="123">
        <v>32.090000000000003</v>
      </c>
      <c r="G102" s="123">
        <v>12.6</v>
      </c>
      <c r="H102" s="123">
        <v>12.33</v>
      </c>
      <c r="I102" s="123">
        <v>98.38</v>
      </c>
      <c r="J102" s="124">
        <v>2</v>
      </c>
    </row>
    <row r="103" spans="1:10" ht="13.2" x14ac:dyDescent="0.25"/>
    <row r="104" spans="1:10" ht="13.2" x14ac:dyDescent="0.25"/>
    <row r="105" spans="1:10" ht="13.2" x14ac:dyDescent="0.25">
      <c r="A105" s="125" t="s">
        <v>217</v>
      </c>
    </row>
    <row r="106" spans="1:10" ht="13.2" x14ac:dyDescent="0.25">
      <c r="A106" s="125" t="s">
        <v>218</v>
      </c>
    </row>
    <row r="107" spans="1:10" ht="13.2" x14ac:dyDescent="0.25"/>
    <row r="108" spans="1:10" ht="13.2" x14ac:dyDescent="0.25"/>
    <row r="109" spans="1:10" ht="13.2" x14ac:dyDescent="0.25"/>
    <row r="110" spans="1:10" ht="13.2" x14ac:dyDescent="0.25"/>
    <row r="111" spans="1:10" ht="13.2" x14ac:dyDescent="0.25"/>
    <row r="112" spans="1:10" ht="13.2" x14ac:dyDescent="0.25"/>
    <row r="113" ht="13.2" x14ac:dyDescent="0.25"/>
    <row r="114" ht="13.2" x14ac:dyDescent="0.25"/>
    <row r="115" ht="13.2" x14ac:dyDescent="0.25"/>
    <row r="116" ht="13.2" x14ac:dyDescent="0.25"/>
    <row r="117" ht="13.2" x14ac:dyDescent="0.25"/>
    <row r="118" ht="13.2" x14ac:dyDescent="0.25"/>
    <row r="119" ht="13.2" x14ac:dyDescent="0.25"/>
    <row r="120" ht="13.2" x14ac:dyDescent="0.25"/>
    <row r="121" ht="13.2" x14ac:dyDescent="0.25"/>
    <row r="122" ht="13.2" x14ac:dyDescent="0.25"/>
    <row r="123" ht="13.2" x14ac:dyDescent="0.25"/>
    <row r="124" ht="13.2" x14ac:dyDescent="0.25"/>
    <row r="125" ht="13.2" x14ac:dyDescent="0.25"/>
    <row r="126" ht="13.2" x14ac:dyDescent="0.25"/>
    <row r="127" ht="13.2" x14ac:dyDescent="0.25"/>
    <row r="128" ht="13.2" x14ac:dyDescent="0.25"/>
    <row r="129" ht="13.2" x14ac:dyDescent="0.25"/>
    <row r="130" ht="13.2" x14ac:dyDescent="0.25"/>
    <row r="131" ht="13.2" x14ac:dyDescent="0.25"/>
    <row r="132" ht="13.2" x14ac:dyDescent="0.25"/>
    <row r="133" ht="13.2" x14ac:dyDescent="0.25"/>
    <row r="134" ht="13.2" x14ac:dyDescent="0.25"/>
    <row r="135" ht="13.2" x14ac:dyDescent="0.25"/>
    <row r="136" ht="13.2" x14ac:dyDescent="0.25"/>
    <row r="137" ht="13.2" x14ac:dyDescent="0.25"/>
    <row r="138" ht="13.2" x14ac:dyDescent="0.25"/>
    <row r="139" ht="13.2" x14ac:dyDescent="0.25"/>
    <row r="140" ht="13.2" x14ac:dyDescent="0.25"/>
    <row r="141" ht="13.2" x14ac:dyDescent="0.25"/>
    <row r="142" ht="13.2" x14ac:dyDescent="0.25"/>
    <row r="143" ht="13.2" x14ac:dyDescent="0.25"/>
    <row r="144" ht="13.2" x14ac:dyDescent="0.25"/>
    <row r="145" ht="13.2" x14ac:dyDescent="0.25"/>
    <row r="146" ht="13.2" x14ac:dyDescent="0.25"/>
    <row r="147" ht="13.2" x14ac:dyDescent="0.25"/>
    <row r="148" ht="13.2" x14ac:dyDescent="0.25"/>
    <row r="149" ht="13.2" x14ac:dyDescent="0.25"/>
    <row r="150" ht="13.2" x14ac:dyDescent="0.25"/>
    <row r="151" ht="13.2" x14ac:dyDescent="0.25"/>
  </sheetData>
  <mergeCells count="4">
    <mergeCell ref="A3:A4"/>
    <mergeCell ref="B3:B4"/>
    <mergeCell ref="C3:C4"/>
    <mergeCell ref="D3:D4"/>
  </mergeCell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zoomScale="80" zoomScaleNormal="80" workbookViewId="0">
      <selection activeCell="A10" sqref="A10"/>
    </sheetView>
  </sheetViews>
  <sheetFormatPr defaultColWidth="11.5546875" defaultRowHeight="12.75" customHeight="1" x14ac:dyDescent="0.25"/>
  <cols>
    <col min="1" max="1" width="19.5546875" style="41" customWidth="1"/>
    <col min="2" max="2" width="20.5546875" style="41" customWidth="1"/>
  </cols>
  <sheetData>
    <row r="1" spans="1:6" ht="13.2" x14ac:dyDescent="0.25">
      <c r="A1" s="126"/>
      <c r="B1" s="59" t="s">
        <v>43</v>
      </c>
      <c r="C1" s="125"/>
      <c r="D1" s="125"/>
      <c r="E1" s="125"/>
    </row>
    <row r="2" spans="1:6" ht="13.2" x14ac:dyDescent="0.25">
      <c r="A2" s="126" t="s">
        <v>219</v>
      </c>
      <c r="B2" s="127">
        <v>11972</v>
      </c>
      <c r="C2" s="125"/>
      <c r="D2" s="125"/>
      <c r="E2" s="125"/>
    </row>
    <row r="3" spans="1:6" ht="13.2" x14ac:dyDescent="0.25">
      <c r="A3" s="126" t="s">
        <v>220</v>
      </c>
      <c r="B3" s="127">
        <v>1190</v>
      </c>
      <c r="C3" s="125"/>
      <c r="D3" s="125"/>
      <c r="E3" s="125"/>
    </row>
    <row r="4" spans="1:6" ht="13.2" x14ac:dyDescent="0.25">
      <c r="A4" s="126" t="s">
        <v>221</v>
      </c>
      <c r="B4" s="127">
        <v>17684</v>
      </c>
      <c r="C4" s="125"/>
      <c r="D4" s="128"/>
      <c r="E4" s="125"/>
    </row>
    <row r="5" spans="1:6" ht="13.2" x14ac:dyDescent="0.25">
      <c r="A5" s="126" t="s">
        <v>222</v>
      </c>
      <c r="B5" s="129">
        <v>479.34722870528799</v>
      </c>
      <c r="C5" s="125"/>
      <c r="D5" s="125"/>
      <c r="E5" s="125"/>
    </row>
    <row r="6" spans="1:6" ht="13.2" x14ac:dyDescent="0.25">
      <c r="A6" s="126" t="s">
        <v>223</v>
      </c>
      <c r="B6" s="130">
        <f>B2/B4</f>
        <v>0.67699615471612762</v>
      </c>
      <c r="C6" s="125"/>
      <c r="D6" s="125"/>
      <c r="E6" s="125"/>
    </row>
    <row r="7" spans="1:6" ht="13.2" x14ac:dyDescent="0.25">
      <c r="A7" s="126" t="s">
        <v>224</v>
      </c>
      <c r="B7" s="130">
        <f>B3/B4</f>
        <v>6.7292467767473427E-2</v>
      </c>
      <c r="C7" s="125"/>
      <c r="D7" s="125"/>
      <c r="E7" s="125"/>
    </row>
    <row r="8" spans="1:6" ht="13.2" x14ac:dyDescent="0.25">
      <c r="A8" s="125"/>
      <c r="B8" s="125"/>
      <c r="C8" s="125"/>
      <c r="D8" s="125"/>
      <c r="E8" s="125"/>
    </row>
    <row r="10" spans="1:6" ht="15.6" x14ac:dyDescent="0.25">
      <c r="B10" s="131" t="s">
        <v>49</v>
      </c>
      <c r="C10" s="131" t="s">
        <v>51</v>
      </c>
      <c r="D10" s="132" t="s">
        <v>53</v>
      </c>
      <c r="E10" s="132" t="s">
        <v>55</v>
      </c>
      <c r="F10" s="132" t="s">
        <v>57</v>
      </c>
    </row>
    <row r="11" spans="1:6" ht="15.6" x14ac:dyDescent="0.3">
      <c r="B11" s="133" t="s">
        <v>60</v>
      </c>
      <c r="C11" s="133" t="s">
        <v>60</v>
      </c>
      <c r="D11" s="134" t="s">
        <v>60</v>
      </c>
      <c r="E11" s="134" t="s">
        <v>59</v>
      </c>
      <c r="F11" s="134" t="s">
        <v>60</v>
      </c>
    </row>
    <row r="12" spans="1:6" ht="13.2" x14ac:dyDescent="0.25">
      <c r="A12" s="64" t="s">
        <v>219</v>
      </c>
      <c r="B12" s="65">
        <v>390.861995462496</v>
      </c>
      <c r="C12" s="65">
        <v>36.250699208569998</v>
      </c>
      <c r="D12" s="65">
        <v>18.2077837521717</v>
      </c>
      <c r="E12" s="65">
        <v>200.11541115636501</v>
      </c>
      <c r="F12" s="65">
        <v>4.7938212349649199</v>
      </c>
    </row>
    <row r="13" spans="1:6" ht="13.2" x14ac:dyDescent="0.25">
      <c r="A13" s="64" t="s">
        <v>220</v>
      </c>
      <c r="B13" s="135">
        <v>1820.00146534946</v>
      </c>
      <c r="C13" s="65">
        <v>163.30274173900099</v>
      </c>
      <c r="D13" s="65">
        <v>87.964555908164201</v>
      </c>
      <c r="E13" s="65">
        <v>560.98167829409294</v>
      </c>
      <c r="F13" s="65">
        <v>12.734674873312301</v>
      </c>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80" zoomScaleNormal="80" workbookViewId="0">
      <selection activeCell="C9" sqref="C9"/>
    </sheetView>
  </sheetViews>
  <sheetFormatPr defaultColWidth="11.5546875" defaultRowHeight="12.75" customHeight="1" x14ac:dyDescent="0.25"/>
  <cols>
    <col min="1" max="1" width="16.6640625" style="41" customWidth="1"/>
  </cols>
  <sheetData>
    <row r="1" spans="1:7" ht="180.6" customHeight="1" x14ac:dyDescent="0.25">
      <c r="A1" s="5" t="s">
        <v>225</v>
      </c>
      <c r="B1" s="5"/>
      <c r="C1" s="5"/>
      <c r="D1" s="5"/>
      <c r="E1" s="5"/>
      <c r="F1" s="5"/>
    </row>
    <row r="2" spans="1:7" ht="13.2" x14ac:dyDescent="0.25">
      <c r="A2" s="136"/>
      <c r="B2" s="136"/>
      <c r="C2" s="125"/>
      <c r="D2" s="125"/>
    </row>
    <row r="3" spans="1:7" ht="13.2" x14ac:dyDescent="0.25">
      <c r="A3" s="137" t="s">
        <v>226</v>
      </c>
      <c r="B3" s="138">
        <f>'DATI di input'!B2*0.05</f>
        <v>598.6</v>
      </c>
      <c r="C3" s="125" t="s">
        <v>227</v>
      </c>
      <c r="D3" s="125"/>
    </row>
    <row r="4" spans="1:7" ht="13.2" x14ac:dyDescent="0.25">
      <c r="A4" s="137" t="s">
        <v>228</v>
      </c>
      <c r="B4" s="138">
        <v>2</v>
      </c>
      <c r="C4" s="125" t="s">
        <v>229</v>
      </c>
      <c r="D4" s="125"/>
    </row>
    <row r="5" spans="1:7" ht="13.2" x14ac:dyDescent="0.25">
      <c r="A5" s="137" t="s">
        <v>230</v>
      </c>
      <c r="B5" s="138">
        <v>250</v>
      </c>
      <c r="C5" s="125" t="s">
        <v>231</v>
      </c>
      <c r="D5" s="125"/>
    </row>
    <row r="6" spans="1:7" ht="15.6" x14ac:dyDescent="0.35">
      <c r="A6" s="137" t="s">
        <v>232</v>
      </c>
      <c r="B6" s="127">
        <f>((B3/1.2)*B4)*B5</f>
        <v>249416.66666666669</v>
      </c>
      <c r="C6" s="125"/>
      <c r="D6" s="125"/>
    </row>
    <row r="7" spans="1:7" ht="13.2" x14ac:dyDescent="0.25">
      <c r="A7" s="139"/>
      <c r="B7" s="125"/>
      <c r="C7" s="125"/>
      <c r="D7" s="125"/>
    </row>
    <row r="8" spans="1:7" ht="13.2" x14ac:dyDescent="0.25">
      <c r="A8" s="137" t="s">
        <v>226</v>
      </c>
      <c r="B8" s="127">
        <f>'DATI di input'!B3*0.02</f>
        <v>23.8</v>
      </c>
      <c r="C8" s="125" t="s">
        <v>233</v>
      </c>
      <c r="D8" s="125"/>
    </row>
    <row r="9" spans="1:7" ht="13.2" x14ac:dyDescent="0.25">
      <c r="A9" s="137" t="s">
        <v>228</v>
      </c>
      <c r="B9" s="138">
        <v>2</v>
      </c>
      <c r="C9" s="125" t="s">
        <v>229</v>
      </c>
      <c r="D9" s="125"/>
    </row>
    <row r="10" spans="1:7" ht="13.2" x14ac:dyDescent="0.25">
      <c r="A10" s="137" t="s">
        <v>230</v>
      </c>
      <c r="B10" s="138">
        <v>250</v>
      </c>
      <c r="C10" s="125" t="s">
        <v>231</v>
      </c>
      <c r="D10" s="125"/>
    </row>
    <row r="11" spans="1:7" ht="15.6" x14ac:dyDescent="0.35">
      <c r="A11" s="137" t="s">
        <v>234</v>
      </c>
      <c r="B11" s="127">
        <f>((B8/1.2)*B9)*B10</f>
        <v>9916.6666666666679</v>
      </c>
      <c r="C11" s="125"/>
      <c r="D11" s="125"/>
    </row>
    <row r="12" spans="1:7" ht="13.2" x14ac:dyDescent="0.25">
      <c r="A12" s="125"/>
      <c r="B12" s="125"/>
      <c r="C12" s="125"/>
      <c r="D12" s="125"/>
    </row>
    <row r="13" spans="1:7" ht="13.2" x14ac:dyDescent="0.25">
      <c r="A13" s="111" t="s">
        <v>235</v>
      </c>
      <c r="B13" s="125"/>
      <c r="C13" s="125"/>
      <c r="D13" s="125"/>
    </row>
    <row r="14" spans="1:7" ht="15.6" x14ac:dyDescent="0.25">
      <c r="A14" s="140" t="s">
        <v>236</v>
      </c>
      <c r="B14" s="131" t="s">
        <v>49</v>
      </c>
      <c r="C14" s="131" t="s">
        <v>51</v>
      </c>
      <c r="D14" s="132" t="s">
        <v>53</v>
      </c>
      <c r="E14" s="132" t="s">
        <v>55</v>
      </c>
      <c r="F14" s="132" t="s">
        <v>57</v>
      </c>
      <c r="G14" s="132" t="s">
        <v>237</v>
      </c>
    </row>
    <row r="15" spans="1:7" ht="15.6" x14ac:dyDescent="0.3">
      <c r="A15" s="140"/>
      <c r="B15" s="133" t="s">
        <v>238</v>
      </c>
      <c r="C15" s="133" t="s">
        <v>238</v>
      </c>
      <c r="D15" s="132" t="s">
        <v>238</v>
      </c>
      <c r="E15" s="132" t="s">
        <v>239</v>
      </c>
      <c r="F15" s="132" t="s">
        <v>238</v>
      </c>
      <c r="G15" s="132" t="s">
        <v>239</v>
      </c>
    </row>
    <row r="16" spans="1:7" ht="13.2" x14ac:dyDescent="0.25">
      <c r="A16" s="141" t="s">
        <v>219</v>
      </c>
      <c r="B16" s="142">
        <f>(($B$6)*'DATI di input'!B12)/1000000</f>
        <v>97.48749603493755</v>
      </c>
      <c r="C16" s="142">
        <f>(($B$6)*'DATI di input'!C12)/1000000</f>
        <v>9.0415285609375022</v>
      </c>
      <c r="D16" s="142">
        <f>(($B$6)*'DATI di input'!D12)/1000000</f>
        <v>4.541324730854158</v>
      </c>
      <c r="E16" s="142">
        <f>(($B$6)*'DATI di input'!E12)/1000000</f>
        <v>49.912118799250045</v>
      </c>
      <c r="F16" s="142">
        <f>(($B$6)*'DATI di input'!F12)/1000000</f>
        <v>1.1956589130208339</v>
      </c>
      <c r="G16" s="142">
        <f>E16+((D16*28)/1000)+((F16*265)/1000)</f>
        <v>50.356125503664487</v>
      </c>
    </row>
    <row r="17" spans="1:7" ht="13.2" x14ac:dyDescent="0.25">
      <c r="A17" s="141" t="s">
        <v>240</v>
      </c>
      <c r="B17" s="142">
        <f>(($B$11)*'DATI di input'!B13)/1000000</f>
        <v>18.048347864715478</v>
      </c>
      <c r="C17" s="142">
        <f>(($B$11)*'DATI di input'!C13)/1000000</f>
        <v>1.6194188555784268</v>
      </c>
      <c r="D17" s="142">
        <f>(($B$11)*'DATI di input'!D13)/1000000</f>
        <v>0.87231517942262848</v>
      </c>
      <c r="E17" s="142">
        <f>(($B$11)*'DATI di input'!E13)/1000000</f>
        <v>5.563068309749756</v>
      </c>
      <c r="F17" s="142">
        <f>(($B$11)*'DATI di input'!F13)/1000000</f>
        <v>0.12628552582701366</v>
      </c>
      <c r="G17" s="142">
        <f>E17+((D17*28)/1000)+((F17*265)/1000)</f>
        <v>5.6209587991177488</v>
      </c>
    </row>
    <row r="18" spans="1:7" ht="13.2" x14ac:dyDescent="0.25">
      <c r="A18" s="143" t="s">
        <v>241</v>
      </c>
      <c r="B18" s="144">
        <f t="shared" ref="B18:G18" si="0">SUM(B16:B17)</f>
        <v>115.53584389965303</v>
      </c>
      <c r="C18" s="144">
        <f t="shared" si="0"/>
        <v>10.660947416515929</v>
      </c>
      <c r="D18" s="144">
        <f t="shared" si="0"/>
        <v>5.4136399102767863</v>
      </c>
      <c r="E18" s="144">
        <f t="shared" si="0"/>
        <v>55.475187108999805</v>
      </c>
      <c r="F18" s="144">
        <f t="shared" si="0"/>
        <v>1.3219444388478476</v>
      </c>
      <c r="G18" s="144">
        <f t="shared" si="0"/>
        <v>55.977084302782238</v>
      </c>
    </row>
    <row r="21" spans="1:7" ht="15.6" x14ac:dyDescent="0.3">
      <c r="A21" s="60"/>
      <c r="B21" s="145" t="s">
        <v>242</v>
      </c>
    </row>
    <row r="22" spans="1:7" ht="13.2" x14ac:dyDescent="0.25">
      <c r="A22" s="60" t="s">
        <v>57</v>
      </c>
      <c r="B22" s="60">
        <v>265</v>
      </c>
    </row>
    <row r="23" spans="1:7" ht="13.2" x14ac:dyDescent="0.25">
      <c r="A23" s="60" t="s">
        <v>53</v>
      </c>
      <c r="B23" s="60">
        <v>28</v>
      </c>
    </row>
    <row r="24" spans="1:7" ht="13.2" x14ac:dyDescent="0.25">
      <c r="A24" s="60"/>
      <c r="B24" s="60"/>
    </row>
    <row r="25" spans="1:7" ht="13.2" x14ac:dyDescent="0.25">
      <c r="A25" s="146" t="s">
        <v>243</v>
      </c>
    </row>
  </sheetData>
  <mergeCells count="1">
    <mergeCell ref="A1:F1"/>
  </mergeCells>
  <hyperlinks>
    <hyperlink ref="A25" r:id="rId1"/>
  </hyperlinks>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&amp;CPagina &amp;P</oddFooter>
  </headerFooter>
</worksheet>
</file>

<file path=docProps/app.xml><?xml version="1.0" encoding="utf-8"?>
<Properties xmlns="http://schemas.openxmlformats.org/officeDocument/2006/extended-properties" xmlns:vt="http://schemas.openxmlformats.org/officeDocument/2006/docPropsVTypes">
  <Template/>
  <TotalTime>677</TotalTime>
  <Application>Microsoft Excel</Application>
  <DocSecurity>0</DocSecurity>
  <ScaleCrop>false</ScaleCrop>
  <HeadingPairs>
    <vt:vector size="2" baseType="variant">
      <vt:variant>
        <vt:lpstr>Fogli di lavoro</vt:lpstr>
      </vt:variant>
      <vt:variant>
        <vt:i4>13</vt:i4>
      </vt:variant>
    </vt:vector>
  </HeadingPairs>
  <TitlesOfParts>
    <vt:vector size="13" baseType="lpstr">
      <vt:lpstr>3_AV_per_Provincia</vt:lpstr>
      <vt:lpstr>4_AV_per_Comune</vt:lpstr>
      <vt:lpstr>5_AV_Stima FE medio</vt:lpstr>
      <vt:lpstr>7_VI_leggeri_per_Provincia</vt:lpstr>
      <vt:lpstr>10_VI_pesanti_per_Provincia</vt:lpstr>
      <vt:lpstr>VI_leg_pes_Comune</vt:lpstr>
      <vt:lpstr>FE medi tipo legisl</vt:lpstr>
      <vt:lpstr>DATI di input</vt:lpstr>
      <vt:lpstr>Aree pedonali e placemaking</vt:lpstr>
      <vt:lpstr>Zone 30 e interventi di moderaz</vt:lpstr>
      <vt:lpstr>Percorsi ciclabili</vt:lpstr>
      <vt:lpstr>Strade scolastiche</vt:lpstr>
      <vt:lpstr>Riepilogo Riduzioni emissive 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Staltari Giorgia</dc:creator>
  <dc:description/>
  <cp:lastModifiedBy>Staltari Giorgia</cp:lastModifiedBy>
  <cp:revision>50</cp:revision>
  <dcterms:created xsi:type="dcterms:W3CDTF">2026-07-22T15:11:20Z</dcterms:created>
  <dcterms:modified xsi:type="dcterms:W3CDTF">2026-08-11T14:31:47Z</dcterms:modified>
  <dc:language>it-IT</dc:language>
</cp:coreProperties>
</file>